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rosiak\Desktop\Inwestycje 2025\sesja 17.04.2025\"/>
    </mc:Choice>
  </mc:AlternateContent>
  <xr:revisionPtr revIDLastSave="0" documentId="13_ncr:1_{92113990-CB8D-490F-81E3-3C24DC6EAEA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82" i="1" l="1"/>
  <c r="F22" i="1"/>
  <c r="X22" i="1"/>
  <c r="X30" i="1"/>
  <c r="O37" i="1"/>
  <c r="O22" i="1" s="1"/>
  <c r="P37" i="1"/>
  <c r="P22" i="1" s="1"/>
  <c r="Q37" i="1"/>
  <c r="Q22" i="1" s="1"/>
  <c r="R37" i="1"/>
  <c r="R22" i="1" s="1"/>
  <c r="S37" i="1"/>
  <c r="S22" i="1" s="1"/>
  <c r="T37" i="1"/>
  <c r="U37" i="1"/>
  <c r="V37" i="1"/>
  <c r="W37" i="1"/>
  <c r="W22" i="1" s="1"/>
  <c r="T22" i="1"/>
  <c r="U22" i="1"/>
  <c r="V22" i="1"/>
  <c r="N22" i="1"/>
  <c r="F23" i="1"/>
  <c r="O506" i="1"/>
  <c r="N506" i="1"/>
  <c r="Q59" i="1" l="1"/>
  <c r="R59" i="1"/>
  <c r="S59" i="1"/>
  <c r="T59" i="1"/>
  <c r="U59" i="1"/>
  <c r="V59" i="1"/>
  <c r="W59" i="1"/>
  <c r="N93" i="1" l="1"/>
  <c r="M86" i="1"/>
  <c r="N86" i="1"/>
  <c r="M29" i="1"/>
  <c r="X82" i="1" l="1"/>
  <c r="F82" i="1" s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P71" i="1"/>
  <c r="O71" i="1"/>
  <c r="N71" i="1"/>
  <c r="N59" i="1" s="1"/>
  <c r="M71" i="1"/>
  <c r="L71" i="1"/>
  <c r="K71" i="1"/>
  <c r="J67" i="1"/>
  <c r="J71" i="1" s="1"/>
  <c r="W17036" i="1"/>
  <c r="V17036" i="1"/>
  <c r="U17036" i="1"/>
  <c r="T17036" i="1"/>
  <c r="S17036" i="1"/>
  <c r="R17036" i="1"/>
  <c r="Q17036" i="1"/>
  <c r="P17036" i="1"/>
  <c r="O17036" i="1"/>
  <c r="N17036" i="1"/>
  <c r="M17036" i="1"/>
  <c r="L17036" i="1"/>
  <c r="O302" i="1"/>
  <c r="O199" i="1"/>
  <c r="O198" i="1"/>
  <c r="O181" i="1"/>
  <c r="O180" i="1"/>
  <c r="O491" i="1"/>
  <c r="R336" i="1"/>
  <c r="U792" i="1"/>
  <c r="T792" i="1"/>
  <c r="S792" i="1"/>
  <c r="R792" i="1"/>
  <c r="Q792" i="1"/>
  <c r="P792" i="1"/>
  <c r="O792" i="1"/>
  <c r="S626" i="1"/>
  <c r="R626" i="1"/>
  <c r="R326" i="1"/>
  <c r="S276" i="1"/>
  <c r="S251" i="1"/>
  <c r="R251" i="1"/>
  <c r="M77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X693" i="1" l="1"/>
  <c r="F693" i="1" s="1"/>
  <c r="X66" i="1"/>
  <c r="F66" i="1" s="1"/>
  <c r="X667" i="1"/>
  <c r="X17032" i="1"/>
  <c r="S586" i="1" l="1"/>
  <c r="T586" i="1"/>
  <c r="U586" i="1"/>
  <c r="V586" i="1"/>
  <c r="Q626" i="1"/>
  <c r="Q591" i="1"/>
  <c r="R591" i="1"/>
  <c r="S591" i="1"/>
  <c r="T591" i="1"/>
  <c r="Q496" i="1" l="1"/>
  <c r="R496" i="1"/>
  <c r="S496" i="1"/>
  <c r="T496" i="1"/>
  <c r="U496" i="1"/>
  <c r="V496" i="1"/>
  <c r="W496" i="1"/>
  <c r="Q346" i="1"/>
  <c r="R346" i="1"/>
  <c r="S346" i="1"/>
  <c r="T346" i="1"/>
  <c r="U346" i="1"/>
  <c r="V346" i="1"/>
  <c r="W346" i="1"/>
  <c r="Q421" i="1"/>
  <c r="R421" i="1"/>
  <c r="S421" i="1"/>
  <c r="T421" i="1"/>
  <c r="U421" i="1"/>
  <c r="Q521" i="1"/>
  <c r="R521" i="1"/>
  <c r="S521" i="1"/>
  <c r="T521" i="1"/>
  <c r="U521" i="1"/>
  <c r="V521" i="1"/>
  <c r="W521" i="1"/>
  <c r="Q411" i="1"/>
  <c r="R411" i="1"/>
  <c r="S411" i="1"/>
  <c r="T411" i="1"/>
  <c r="U411" i="1"/>
  <c r="V411" i="1"/>
  <c r="W411" i="1"/>
  <c r="P321" i="1"/>
  <c r="Q321" i="1"/>
  <c r="R321" i="1"/>
  <c r="S321" i="1"/>
  <c r="T321" i="1"/>
  <c r="U321" i="1"/>
  <c r="V321" i="1"/>
  <c r="W321" i="1"/>
  <c r="Q281" i="1"/>
  <c r="R281" i="1"/>
  <c r="S281" i="1"/>
  <c r="T281" i="1"/>
  <c r="U281" i="1"/>
  <c r="V281" i="1"/>
  <c r="W281" i="1"/>
  <c r="Q381" i="1"/>
  <c r="R381" i="1"/>
  <c r="S381" i="1"/>
  <c r="T381" i="1"/>
  <c r="U381" i="1"/>
  <c r="V381" i="1"/>
  <c r="W381" i="1"/>
  <c r="S366" i="1"/>
  <c r="T366" i="1"/>
  <c r="U366" i="1"/>
  <c r="V366" i="1"/>
  <c r="W366" i="1"/>
  <c r="Q366" i="1"/>
  <c r="R366" i="1"/>
  <c r="R341" i="1"/>
  <c r="S341" i="1"/>
  <c r="T341" i="1"/>
  <c r="U341" i="1"/>
  <c r="V341" i="1"/>
  <c r="W341" i="1"/>
  <c r="N311" i="1"/>
  <c r="O311" i="1"/>
  <c r="P311" i="1"/>
  <c r="Q311" i="1"/>
  <c r="R311" i="1"/>
  <c r="S311" i="1"/>
  <c r="T311" i="1"/>
  <c r="U311" i="1"/>
  <c r="V311" i="1"/>
  <c r="W311" i="1"/>
  <c r="T296" i="1"/>
  <c r="U296" i="1"/>
  <c r="V296" i="1"/>
  <c r="W296" i="1"/>
  <c r="Q296" i="1"/>
  <c r="R296" i="1"/>
  <c r="S296" i="1"/>
  <c r="R291" i="1"/>
  <c r="S291" i="1"/>
  <c r="T291" i="1"/>
  <c r="U291" i="1"/>
  <c r="V291" i="1"/>
  <c r="W291" i="1"/>
  <c r="Q266" i="1"/>
  <c r="R266" i="1"/>
  <c r="S266" i="1"/>
  <c r="T266" i="1"/>
  <c r="U266" i="1"/>
  <c r="V266" i="1"/>
  <c r="W266" i="1"/>
  <c r="Q441" i="1"/>
  <c r="R441" i="1"/>
  <c r="S441" i="1"/>
  <c r="T441" i="1"/>
  <c r="U441" i="1"/>
  <c r="V441" i="1"/>
  <c r="W441" i="1"/>
  <c r="Q336" i="1"/>
  <c r="N326" i="1"/>
  <c r="R276" i="1"/>
  <c r="Q516" i="1" l="1"/>
  <c r="R516" i="1"/>
  <c r="S516" i="1"/>
  <c r="T516" i="1"/>
  <c r="U516" i="1"/>
  <c r="V516" i="1"/>
  <c r="W516" i="1"/>
  <c r="P576" i="1"/>
  <c r="O576" i="1"/>
  <c r="N576" i="1"/>
  <c r="M576" i="1"/>
  <c r="L576" i="1"/>
  <c r="K576" i="1"/>
  <c r="J576" i="1"/>
  <c r="P571" i="1"/>
  <c r="O571" i="1"/>
  <c r="N571" i="1"/>
  <c r="M571" i="1"/>
  <c r="L571" i="1"/>
  <c r="K571" i="1"/>
  <c r="J571" i="1"/>
  <c r="P651" i="1"/>
  <c r="O651" i="1"/>
  <c r="N651" i="1"/>
  <c r="M651" i="1"/>
  <c r="L651" i="1"/>
  <c r="X647" i="1" s="1"/>
  <c r="P611" i="1"/>
  <c r="O611" i="1"/>
  <c r="N611" i="1"/>
  <c r="M611" i="1"/>
  <c r="L611" i="1"/>
  <c r="P566" i="1"/>
  <c r="O566" i="1"/>
  <c r="N566" i="1"/>
  <c r="M566" i="1"/>
  <c r="L566" i="1"/>
  <c r="K566" i="1"/>
  <c r="J566" i="1"/>
  <c r="X572" i="1" l="1"/>
  <c r="X567" i="1"/>
  <c r="F647" i="1"/>
  <c r="X562" i="1"/>
  <c r="X607" i="1"/>
  <c r="F607" i="1" s="1"/>
  <c r="P621" i="1"/>
  <c r="O621" i="1"/>
  <c r="N621" i="1"/>
  <c r="M621" i="1"/>
  <c r="L621" i="1"/>
  <c r="X617" i="1" s="1"/>
  <c r="F617" i="1" l="1"/>
  <c r="P121" i="1"/>
  <c r="O121" i="1"/>
  <c r="N121" i="1"/>
  <c r="M121" i="1"/>
  <c r="L121" i="1"/>
  <c r="K121" i="1"/>
  <c r="J118" i="1"/>
  <c r="J121" i="1" s="1"/>
  <c r="X118" i="1" l="1"/>
  <c r="F118" i="1" s="1"/>
  <c r="R772" i="1"/>
  <c r="S772" i="1"/>
  <c r="T772" i="1"/>
  <c r="U772" i="1"/>
  <c r="V772" i="1"/>
  <c r="W772" i="1"/>
  <c r="N501" i="1"/>
  <c r="O501" i="1"/>
  <c r="P501" i="1"/>
  <c r="Q501" i="1"/>
  <c r="R501" i="1"/>
  <c r="S501" i="1"/>
  <c r="T501" i="1"/>
  <c r="U501" i="1"/>
  <c r="V501" i="1"/>
  <c r="W501" i="1"/>
  <c r="Q436" i="1"/>
  <c r="R436" i="1"/>
  <c r="S436" i="1"/>
  <c r="T436" i="1"/>
  <c r="U436" i="1"/>
  <c r="V436" i="1"/>
  <c r="W436" i="1"/>
  <c r="S757" i="1"/>
  <c r="Q596" i="1"/>
  <c r="R596" i="1"/>
  <c r="S596" i="1"/>
  <c r="T596" i="1"/>
  <c r="U596" i="1"/>
  <c r="V596" i="1"/>
  <c r="W59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X382" i="1" l="1"/>
  <c r="F382" i="1" s="1"/>
  <c r="X387" i="1"/>
  <c r="F387" i="1" s="1"/>
  <c r="Q396" i="1"/>
  <c r="R396" i="1"/>
  <c r="S396" i="1"/>
  <c r="T396" i="1"/>
  <c r="U396" i="1"/>
  <c r="V396" i="1"/>
  <c r="W396" i="1"/>
  <c r="P396" i="1"/>
  <c r="O396" i="1"/>
  <c r="N396" i="1"/>
  <c r="M396" i="1"/>
  <c r="L396" i="1"/>
  <c r="K396" i="1"/>
  <c r="J396" i="1"/>
  <c r="Q286" i="1"/>
  <c r="P286" i="1"/>
  <c r="O286" i="1"/>
  <c r="N286" i="1"/>
  <c r="M286" i="1"/>
  <c r="L286" i="1"/>
  <c r="K286" i="1"/>
  <c r="J286" i="1"/>
  <c r="X392" i="1" l="1"/>
  <c r="F392" i="1"/>
  <c r="X282" i="1"/>
  <c r="F282" i="1" s="1"/>
  <c r="Q491" i="1" l="1"/>
  <c r="Q416" i="1"/>
  <c r="Q276" i="1"/>
  <c r="P586" i="1"/>
  <c r="Q586" i="1"/>
  <c r="R586" i="1"/>
  <c r="Q316" i="1"/>
  <c r="R316" i="1"/>
  <c r="S316" i="1"/>
  <c r="T316" i="1"/>
  <c r="U316" i="1"/>
  <c r="V316" i="1"/>
  <c r="W316" i="1"/>
  <c r="P742" i="1" l="1"/>
  <c r="O742" i="1"/>
  <c r="N742" i="1"/>
  <c r="M742" i="1"/>
  <c r="L742" i="1"/>
  <c r="K738" i="1"/>
  <c r="K742" i="1" s="1"/>
  <c r="J738" i="1"/>
  <c r="J742" i="1" s="1"/>
  <c r="P256" i="1" l="1"/>
  <c r="O256" i="1"/>
  <c r="N256" i="1"/>
  <c r="M256" i="1"/>
  <c r="L256" i="1"/>
  <c r="K256" i="1"/>
  <c r="J252" i="1"/>
  <c r="J256" i="1" s="1"/>
  <c r="X252" i="1" l="1"/>
  <c r="F252" i="1" s="1"/>
  <c r="W138" i="1" l="1"/>
  <c r="V138" i="1"/>
  <c r="U138" i="1"/>
  <c r="T138" i="1"/>
  <c r="S138" i="1"/>
  <c r="R138" i="1"/>
  <c r="Q138" i="1"/>
  <c r="P143" i="1"/>
  <c r="P138" i="1" s="1"/>
  <c r="O143" i="1"/>
  <c r="N143" i="1"/>
  <c r="M143" i="1"/>
  <c r="L143" i="1"/>
  <c r="L138" i="1" s="1"/>
  <c r="K143" i="1"/>
  <c r="J143" i="1"/>
  <c r="X139" i="1" l="1"/>
  <c r="F139" i="1" s="1"/>
  <c r="W631" i="1"/>
  <c r="V631" i="1"/>
  <c r="U631" i="1"/>
  <c r="T631" i="1"/>
  <c r="S631" i="1"/>
  <c r="R631" i="1"/>
  <c r="Q631" i="1"/>
  <c r="P631" i="1"/>
  <c r="O631" i="1"/>
  <c r="N631" i="1"/>
  <c r="M631" i="1"/>
  <c r="L631" i="1"/>
  <c r="U200" i="1"/>
  <c r="V200" i="1"/>
  <c r="W200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J241" i="1"/>
  <c r="K237" i="1"/>
  <c r="K241" i="1" s="1"/>
  <c r="Q636" i="1"/>
  <c r="R636" i="1"/>
  <c r="S636" i="1"/>
  <c r="T636" i="1"/>
  <c r="U636" i="1"/>
  <c r="V636" i="1"/>
  <c r="W636" i="1"/>
  <c r="U306" i="1"/>
  <c r="V306" i="1"/>
  <c r="W306" i="1"/>
  <c r="P215" i="1"/>
  <c r="O215" i="1"/>
  <c r="N215" i="1"/>
  <c r="M215" i="1"/>
  <c r="L215" i="1"/>
  <c r="K215" i="1"/>
  <c r="J215" i="1"/>
  <c r="P163" i="1"/>
  <c r="Q163" i="1"/>
  <c r="P747" i="1"/>
  <c r="O747" i="1"/>
  <c r="N747" i="1"/>
  <c r="M747" i="1"/>
  <c r="L747" i="1"/>
  <c r="K743" i="1"/>
  <c r="K747" i="1" s="1"/>
  <c r="J743" i="1"/>
  <c r="J747" i="1" s="1"/>
  <c r="P516" i="1"/>
  <c r="O516" i="1"/>
  <c r="N516" i="1"/>
  <c r="M516" i="1"/>
  <c r="L516" i="1"/>
  <c r="K516" i="1"/>
  <c r="J516" i="1"/>
  <c r="X738" i="1" l="1"/>
  <c r="X627" i="1"/>
  <c r="X512" i="1"/>
  <c r="F512" i="1" s="1"/>
  <c r="X743" i="1"/>
  <c r="F743" i="1" s="1"/>
  <c r="F738" i="1"/>
  <c r="X237" i="1"/>
  <c r="F237" i="1" s="1"/>
  <c r="X211" i="1"/>
  <c r="F211" i="1" s="1"/>
  <c r="P521" i="1"/>
  <c r="O521" i="1"/>
  <c r="N521" i="1"/>
  <c r="M521" i="1"/>
  <c r="L521" i="1"/>
  <c r="X517" i="1" s="1"/>
  <c r="K521" i="1"/>
  <c r="J521" i="1"/>
  <c r="P526" i="1"/>
  <c r="O526" i="1"/>
  <c r="N526" i="1"/>
  <c r="M526" i="1"/>
  <c r="L526" i="1"/>
  <c r="K526" i="1"/>
  <c r="J526" i="1"/>
  <c r="R446" i="1"/>
  <c r="P341" i="1"/>
  <c r="O341" i="1"/>
  <c r="R757" i="1"/>
  <c r="S301" i="1"/>
  <c r="U271" i="1"/>
  <c r="T271" i="1"/>
  <c r="Q777" i="1"/>
  <c r="Q772" i="1"/>
  <c r="R767" i="1"/>
  <c r="Q767" i="1"/>
  <c r="Q757" i="1"/>
  <c r="Q687" i="1"/>
  <c r="Q446" i="1"/>
  <c r="Q340" i="1"/>
  <c r="Q341" i="1" s="1"/>
  <c r="Q326" i="1"/>
  <c r="Q291" i="1"/>
  <c r="S271" i="1"/>
  <c r="R271" i="1"/>
  <c r="Q271" i="1"/>
  <c r="P271" i="1"/>
  <c r="F627" i="1" l="1"/>
  <c r="F517" i="1"/>
  <c r="X522" i="1"/>
  <c r="F522" i="1" s="1"/>
  <c r="N341" i="1"/>
  <c r="P326" i="1"/>
  <c r="P81" i="1" l="1"/>
  <c r="O81" i="1"/>
  <c r="N81" i="1"/>
  <c r="M81" i="1"/>
  <c r="L81" i="1"/>
  <c r="K81" i="1"/>
  <c r="J78" i="1"/>
  <c r="J81" i="1" s="1"/>
  <c r="P556" i="1"/>
  <c r="O556" i="1"/>
  <c r="N556" i="1"/>
  <c r="M556" i="1"/>
  <c r="L556" i="1"/>
  <c r="P551" i="1"/>
  <c r="O551" i="1"/>
  <c r="N551" i="1"/>
  <c r="M551" i="1"/>
  <c r="L551" i="1"/>
  <c r="P541" i="1"/>
  <c r="O541" i="1"/>
  <c r="N541" i="1"/>
  <c r="M541" i="1"/>
  <c r="L541" i="1"/>
  <c r="X78" i="1" l="1"/>
  <c r="X552" i="1"/>
  <c r="X547" i="1"/>
  <c r="X537" i="1"/>
  <c r="P546" i="1"/>
  <c r="O546" i="1"/>
  <c r="N546" i="1"/>
  <c r="M546" i="1"/>
  <c r="L546" i="1"/>
  <c r="S306" i="1"/>
  <c r="T306" i="1"/>
  <c r="M200" i="1"/>
  <c r="N200" i="1"/>
  <c r="O200" i="1"/>
  <c r="P200" i="1"/>
  <c r="Q200" i="1"/>
  <c r="R200" i="1"/>
  <c r="S200" i="1"/>
  <c r="T200" i="1"/>
  <c r="L200" i="1"/>
  <c r="X195" i="1" l="1"/>
  <c r="F195" i="1" s="1"/>
  <c r="X542" i="1"/>
  <c r="P511" i="1"/>
  <c r="O511" i="1"/>
  <c r="N511" i="1"/>
  <c r="M511" i="1"/>
  <c r="L511" i="1"/>
  <c r="P506" i="1"/>
  <c r="M506" i="1"/>
  <c r="L506" i="1"/>
  <c r="M501" i="1"/>
  <c r="L501" i="1"/>
  <c r="P496" i="1"/>
  <c r="O496" i="1"/>
  <c r="N496" i="1"/>
  <c r="M496" i="1"/>
  <c r="L496" i="1"/>
  <c r="X492" i="1" l="1"/>
  <c r="F492" i="1"/>
  <c r="X497" i="1"/>
  <c r="F497" i="1" s="1"/>
  <c r="X507" i="1"/>
  <c r="X502" i="1"/>
  <c r="F502" i="1" s="1"/>
  <c r="P381" i="1"/>
  <c r="O381" i="1"/>
  <c r="N381" i="1"/>
  <c r="M381" i="1"/>
  <c r="L381" i="1"/>
  <c r="K381" i="1"/>
  <c r="J381" i="1"/>
  <c r="P491" i="1"/>
  <c r="N491" i="1"/>
  <c r="M491" i="1"/>
  <c r="L491" i="1"/>
  <c r="P737" i="1"/>
  <c r="O737" i="1"/>
  <c r="N737" i="1"/>
  <c r="M737" i="1"/>
  <c r="L737" i="1"/>
  <c r="K733" i="1"/>
  <c r="K737" i="1" s="1"/>
  <c r="J733" i="1"/>
  <c r="J737" i="1" s="1"/>
  <c r="X487" i="1" l="1"/>
  <c r="F487" i="1" s="1"/>
  <c r="X377" i="1"/>
  <c r="F377" i="1" s="1"/>
  <c r="X733" i="1"/>
  <c r="F733" i="1" s="1"/>
  <c r="P481" i="1" l="1"/>
  <c r="O481" i="1"/>
  <c r="N481" i="1"/>
  <c r="M481" i="1"/>
  <c r="L481" i="1"/>
  <c r="X477" i="1" l="1"/>
  <c r="F477" i="1" s="1"/>
  <c r="W210" i="1" l="1"/>
  <c r="V210" i="1"/>
  <c r="U210" i="1"/>
  <c r="T210" i="1"/>
  <c r="S210" i="1"/>
  <c r="R210" i="1"/>
  <c r="Q210" i="1"/>
  <c r="P210" i="1"/>
  <c r="O210" i="1"/>
  <c r="N210" i="1"/>
  <c r="M210" i="1"/>
  <c r="L210" i="1"/>
  <c r="J210" i="1"/>
  <c r="K206" i="1"/>
  <c r="K210" i="1" s="1"/>
  <c r="S205" i="1"/>
  <c r="T205" i="1"/>
  <c r="U205" i="1"/>
  <c r="V205" i="1"/>
  <c r="W205" i="1"/>
  <c r="Q179" i="1"/>
  <c r="R179" i="1"/>
  <c r="S179" i="1"/>
  <c r="T179" i="1"/>
  <c r="U179" i="1"/>
  <c r="V179" i="1"/>
  <c r="W179" i="1"/>
  <c r="Q184" i="1"/>
  <c r="R184" i="1"/>
  <c r="S184" i="1"/>
  <c r="T184" i="1"/>
  <c r="U184" i="1"/>
  <c r="V184" i="1"/>
  <c r="W184" i="1"/>
  <c r="S189" i="1"/>
  <c r="T189" i="1"/>
  <c r="U189" i="1"/>
  <c r="V189" i="1"/>
  <c r="W189" i="1"/>
  <c r="P194" i="1"/>
  <c r="Q194" i="1"/>
  <c r="R194" i="1"/>
  <c r="S194" i="1"/>
  <c r="T194" i="1"/>
  <c r="U194" i="1"/>
  <c r="V194" i="1"/>
  <c r="W194" i="1"/>
  <c r="X206" i="1" l="1"/>
  <c r="F206" i="1" s="1"/>
  <c r="V661" i="1"/>
  <c r="W661" i="1"/>
  <c r="P646" i="1"/>
  <c r="O646" i="1"/>
  <c r="N646" i="1"/>
  <c r="M646" i="1"/>
  <c r="L646" i="1"/>
  <c r="J58" i="1"/>
  <c r="K58" i="1"/>
  <c r="L58" i="1"/>
  <c r="M58" i="1"/>
  <c r="N58" i="1"/>
  <c r="O58" i="1"/>
  <c r="P58" i="1"/>
  <c r="X53" i="1" l="1"/>
  <c r="X642" i="1"/>
  <c r="F642" i="1" s="1"/>
  <c r="O52" i="1"/>
  <c r="N52" i="1"/>
  <c r="M52" i="1"/>
  <c r="L52" i="1"/>
  <c r="K52" i="1"/>
  <c r="J52" i="1"/>
  <c r="P656" i="1"/>
  <c r="O656" i="1"/>
  <c r="N656" i="1"/>
  <c r="M656" i="1"/>
  <c r="L656" i="1"/>
  <c r="O29" i="1"/>
  <c r="N29" i="1"/>
  <c r="L29" i="1"/>
  <c r="K29" i="1"/>
  <c r="J29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P641" i="1"/>
  <c r="O641" i="1"/>
  <c r="N641" i="1"/>
  <c r="M641" i="1"/>
  <c r="L641" i="1"/>
  <c r="R301" i="1"/>
  <c r="F48" i="1" l="1"/>
  <c r="X48" i="1"/>
  <c r="X23" i="1"/>
  <c r="X652" i="1"/>
  <c r="X728" i="1"/>
  <c r="F728" i="1" s="1"/>
  <c r="X637" i="1"/>
  <c r="F637" i="1" s="1"/>
  <c r="Q21" i="1"/>
  <c r="R21" i="1"/>
  <c r="S21" i="1"/>
  <c r="T21" i="1"/>
  <c r="U21" i="1"/>
  <c r="V21" i="1"/>
  <c r="W21" i="1"/>
  <c r="W792" i="1"/>
  <c r="V792" i="1"/>
  <c r="N792" i="1"/>
  <c r="M792" i="1"/>
  <c r="L792" i="1"/>
  <c r="X788" i="1" s="1"/>
  <c r="Q787" i="1"/>
  <c r="R787" i="1"/>
  <c r="S787" i="1"/>
  <c r="T787" i="1"/>
  <c r="U787" i="1"/>
  <c r="V787" i="1"/>
  <c r="W787" i="1"/>
  <c r="Q782" i="1"/>
  <c r="R782" i="1"/>
  <c r="S782" i="1"/>
  <c r="T782" i="1"/>
  <c r="U782" i="1"/>
  <c r="V782" i="1"/>
  <c r="W782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M712" i="1"/>
  <c r="N712" i="1"/>
  <c r="O712" i="1"/>
  <c r="P712" i="1"/>
  <c r="Q712" i="1"/>
  <c r="R712" i="1"/>
  <c r="S712" i="1"/>
  <c r="T712" i="1"/>
  <c r="U712" i="1"/>
  <c r="V712" i="1"/>
  <c r="W712" i="1"/>
  <c r="M717" i="1"/>
  <c r="N717" i="1"/>
  <c r="O717" i="1"/>
  <c r="P717" i="1"/>
  <c r="Q717" i="1"/>
  <c r="R717" i="1"/>
  <c r="S717" i="1"/>
  <c r="T717" i="1"/>
  <c r="U717" i="1"/>
  <c r="V717" i="1"/>
  <c r="W717" i="1"/>
  <c r="M707" i="1"/>
  <c r="N707" i="1"/>
  <c r="O707" i="1"/>
  <c r="P707" i="1"/>
  <c r="Q707" i="1"/>
  <c r="R707" i="1"/>
  <c r="S707" i="1"/>
  <c r="T707" i="1"/>
  <c r="U707" i="1"/>
  <c r="V707" i="1"/>
  <c r="W707" i="1"/>
  <c r="L707" i="1"/>
  <c r="M702" i="1"/>
  <c r="N702" i="1"/>
  <c r="O702" i="1"/>
  <c r="P702" i="1"/>
  <c r="Q702" i="1"/>
  <c r="R702" i="1"/>
  <c r="S702" i="1"/>
  <c r="T702" i="1"/>
  <c r="U702" i="1"/>
  <c r="V702" i="1"/>
  <c r="W702" i="1"/>
  <c r="L702" i="1"/>
  <c r="M692" i="1"/>
  <c r="N692" i="1"/>
  <c r="O692" i="1"/>
  <c r="P692" i="1"/>
  <c r="Q692" i="1"/>
  <c r="R692" i="1"/>
  <c r="S692" i="1"/>
  <c r="T692" i="1"/>
  <c r="U692" i="1"/>
  <c r="V692" i="1"/>
  <c r="W692" i="1"/>
  <c r="L692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Q666" i="1"/>
  <c r="R666" i="1"/>
  <c r="S666" i="1"/>
  <c r="T666" i="1"/>
  <c r="U666" i="1"/>
  <c r="V666" i="1"/>
  <c r="W666" i="1"/>
  <c r="Q661" i="1"/>
  <c r="R661" i="1"/>
  <c r="S661" i="1"/>
  <c r="T661" i="1"/>
  <c r="U661" i="1"/>
  <c r="P636" i="1"/>
  <c r="O636" i="1"/>
  <c r="N636" i="1"/>
  <c r="M636" i="1"/>
  <c r="L636" i="1"/>
  <c r="P626" i="1"/>
  <c r="O626" i="1"/>
  <c r="N626" i="1"/>
  <c r="M626" i="1"/>
  <c r="L626" i="1"/>
  <c r="X622" i="1" s="1"/>
  <c r="P616" i="1"/>
  <c r="O616" i="1"/>
  <c r="N616" i="1"/>
  <c r="M616" i="1"/>
  <c r="L616" i="1"/>
  <c r="X703" i="1" l="1"/>
  <c r="X688" i="1"/>
  <c r="F688" i="1" s="1"/>
  <c r="X698" i="1"/>
  <c r="X632" i="1"/>
  <c r="F652" i="1"/>
  <c r="F622" i="1"/>
  <c r="X718" i="1"/>
  <c r="X672" i="1"/>
  <c r="F698" i="1"/>
  <c r="F703" i="1"/>
  <c r="F788" i="1"/>
  <c r="F632" i="1"/>
  <c r="X723" i="1"/>
  <c r="F723" i="1" s="1"/>
  <c r="X612" i="1"/>
  <c r="P561" i="1" l="1"/>
  <c r="O561" i="1"/>
  <c r="N561" i="1"/>
  <c r="M561" i="1"/>
  <c r="L561" i="1"/>
  <c r="P536" i="1"/>
  <c r="O536" i="1"/>
  <c r="N536" i="1"/>
  <c r="M536" i="1"/>
  <c r="L536" i="1"/>
  <c r="P531" i="1"/>
  <c r="O531" i="1"/>
  <c r="N531" i="1"/>
  <c r="M531" i="1"/>
  <c r="L531" i="1"/>
  <c r="P486" i="1"/>
  <c r="O486" i="1"/>
  <c r="N486" i="1"/>
  <c r="M486" i="1"/>
  <c r="L486" i="1"/>
  <c r="P476" i="1"/>
  <c r="O476" i="1"/>
  <c r="N476" i="1"/>
  <c r="M476" i="1"/>
  <c r="L476" i="1"/>
  <c r="P471" i="1"/>
  <c r="O471" i="1"/>
  <c r="N471" i="1"/>
  <c r="M471" i="1"/>
  <c r="L471" i="1"/>
  <c r="P466" i="1"/>
  <c r="O466" i="1"/>
  <c r="N466" i="1"/>
  <c r="M466" i="1"/>
  <c r="L466" i="1"/>
  <c r="F462" i="1" s="1"/>
  <c r="P461" i="1"/>
  <c r="O461" i="1"/>
  <c r="N461" i="1"/>
  <c r="M461" i="1"/>
  <c r="L461" i="1"/>
  <c r="P456" i="1"/>
  <c r="O456" i="1"/>
  <c r="N456" i="1"/>
  <c r="M456" i="1"/>
  <c r="L456" i="1"/>
  <c r="P451" i="1"/>
  <c r="O451" i="1"/>
  <c r="N451" i="1"/>
  <c r="M451" i="1"/>
  <c r="L451" i="1"/>
  <c r="P446" i="1"/>
  <c r="O446" i="1"/>
  <c r="N446" i="1"/>
  <c r="M446" i="1"/>
  <c r="L446" i="1"/>
  <c r="K446" i="1"/>
  <c r="J446" i="1"/>
  <c r="Q331" i="1"/>
  <c r="R331" i="1"/>
  <c r="S331" i="1"/>
  <c r="S169" i="1" s="1"/>
  <c r="T331" i="1"/>
  <c r="T169" i="1" s="1"/>
  <c r="U331" i="1"/>
  <c r="U169" i="1" s="1"/>
  <c r="V331" i="1"/>
  <c r="V169" i="1" s="1"/>
  <c r="W331" i="1"/>
  <c r="W169" i="1" s="1"/>
  <c r="R306" i="1"/>
  <c r="Q306" i="1"/>
  <c r="Q301" i="1"/>
  <c r="Q251" i="1"/>
  <c r="Q205" i="1"/>
  <c r="R205" i="1"/>
  <c r="R189" i="1"/>
  <c r="R169" i="1" s="1"/>
  <c r="Q189" i="1"/>
  <c r="Q169" i="1" s="1"/>
  <c r="X442" i="1" l="1"/>
  <c r="F442" i="1" s="1"/>
  <c r="V137" i="1"/>
  <c r="U137" i="1"/>
  <c r="W137" i="1"/>
  <c r="X482" i="1"/>
  <c r="F482" i="1" s="1"/>
  <c r="X532" i="1"/>
  <c r="F532" i="1" s="1"/>
  <c r="X557" i="1"/>
  <c r="F557" i="1" s="1"/>
  <c r="X527" i="1"/>
  <c r="F527" i="1" s="1"/>
  <c r="X472" i="1"/>
  <c r="F472" i="1" s="1"/>
  <c r="X462" i="1"/>
  <c r="X467" i="1"/>
  <c r="F467" i="1" s="1"/>
  <c r="X457" i="1"/>
  <c r="F457" i="1" s="1"/>
  <c r="X452" i="1"/>
  <c r="F452" i="1" s="1"/>
  <c r="X447" i="1"/>
  <c r="W129" i="1" l="1"/>
  <c r="W123" i="1" s="1"/>
  <c r="V129" i="1"/>
  <c r="V123" i="1" s="1"/>
  <c r="W136" i="1"/>
  <c r="W130" i="1" s="1"/>
  <c r="W20" i="1" s="1"/>
  <c r="V136" i="1"/>
  <c r="V130" i="1" s="1"/>
  <c r="V20" i="1" s="1"/>
  <c r="U136" i="1"/>
  <c r="T136" i="1"/>
  <c r="S136" i="1"/>
  <c r="R136" i="1"/>
  <c r="Q136" i="1"/>
  <c r="P136" i="1"/>
  <c r="O136" i="1"/>
  <c r="N136" i="1"/>
  <c r="M136" i="1"/>
  <c r="M130" i="1" s="1"/>
  <c r="W122" i="1" l="1"/>
  <c r="V122" i="1"/>
  <c r="W19" i="1"/>
  <c r="V19" i="1"/>
  <c r="V18" i="1" l="1"/>
  <c r="W18" i="1"/>
  <c r="L717" i="1" l="1"/>
  <c r="L712" i="1"/>
  <c r="X708" i="1" s="1"/>
  <c r="X713" i="1" l="1"/>
  <c r="U130" i="1"/>
  <c r="U20" i="1" s="1"/>
  <c r="T130" i="1"/>
  <c r="T20" i="1" s="1"/>
  <c r="S130" i="1"/>
  <c r="S20" i="1" s="1"/>
  <c r="R130" i="1"/>
  <c r="R20" i="1" s="1"/>
  <c r="Q130" i="1"/>
  <c r="Q20" i="1" s="1"/>
  <c r="X129" i="1"/>
  <c r="U129" i="1"/>
  <c r="U123" i="1" s="1"/>
  <c r="T129" i="1"/>
  <c r="T123" i="1" s="1"/>
  <c r="S129" i="1"/>
  <c r="S123" i="1" s="1"/>
  <c r="R129" i="1"/>
  <c r="R123" i="1" s="1"/>
  <c r="R19" i="1" s="1"/>
  <c r="Q129" i="1"/>
  <c r="Q123" i="1" s="1"/>
  <c r="Q19" i="1" s="1"/>
  <c r="P130" i="1"/>
  <c r="O130" i="1"/>
  <c r="N130" i="1"/>
  <c r="L136" i="1"/>
  <c r="X130" i="1" s="1"/>
  <c r="K136" i="1"/>
  <c r="J136" i="1"/>
  <c r="P129" i="1"/>
  <c r="P123" i="1" s="1"/>
  <c r="P19" i="1" s="1"/>
  <c r="O129" i="1"/>
  <c r="N129" i="1"/>
  <c r="N123" i="1" s="1"/>
  <c r="M129" i="1"/>
  <c r="L129" i="1"/>
  <c r="K129" i="1"/>
  <c r="J129" i="1"/>
  <c r="T137" i="1"/>
  <c r="R137" i="1"/>
  <c r="Q137" i="1"/>
  <c r="X123" i="1" l="1"/>
  <c r="F124" i="1"/>
  <c r="L123" i="1"/>
  <c r="L130" i="1"/>
  <c r="K123" i="1"/>
  <c r="K130" i="1"/>
  <c r="O123" i="1"/>
  <c r="O122" i="1" s="1"/>
  <c r="M123" i="1"/>
  <c r="M122" i="1" s="1"/>
  <c r="R122" i="1"/>
  <c r="N122" i="1"/>
  <c r="U19" i="1"/>
  <c r="U122" i="1"/>
  <c r="T122" i="1"/>
  <c r="T19" i="1"/>
  <c r="S19" i="1"/>
  <c r="S122" i="1"/>
  <c r="Q122" i="1"/>
  <c r="P122" i="1"/>
  <c r="S137" i="1"/>
  <c r="X122" i="1" l="1"/>
  <c r="F131" i="1"/>
  <c r="F130" i="1"/>
  <c r="L122" i="1"/>
  <c r="Q18" i="1"/>
  <c r="U18" i="1"/>
  <c r="T18" i="1"/>
  <c r="R18" i="1"/>
  <c r="S18" i="1"/>
  <c r="K783" i="1" l="1"/>
  <c r="K432" i="1"/>
  <c r="K372" i="1"/>
  <c r="K352" i="1"/>
  <c r="K201" i="1"/>
  <c r="K707" i="1" l="1"/>
  <c r="J707" i="1"/>
  <c r="J441" i="1"/>
  <c r="P441" i="1"/>
  <c r="O441" i="1"/>
  <c r="N441" i="1"/>
  <c r="M441" i="1"/>
  <c r="L441" i="1"/>
  <c r="K441" i="1"/>
  <c r="K717" i="1"/>
  <c r="J717" i="1"/>
  <c r="K712" i="1"/>
  <c r="J712" i="1"/>
  <c r="K702" i="1"/>
  <c r="K692" i="1"/>
  <c r="J702" i="1"/>
  <c r="X437" i="1" l="1"/>
  <c r="P236" i="1"/>
  <c r="O236" i="1"/>
  <c r="N236" i="1"/>
  <c r="M236" i="1"/>
  <c r="L236" i="1"/>
  <c r="K236" i="1"/>
  <c r="J236" i="1"/>
  <c r="P220" i="1"/>
  <c r="O220" i="1"/>
  <c r="N220" i="1"/>
  <c r="M220" i="1"/>
  <c r="L220" i="1"/>
  <c r="K220" i="1"/>
  <c r="J220" i="1"/>
  <c r="P117" i="1"/>
  <c r="O117" i="1"/>
  <c r="N117" i="1"/>
  <c r="M117" i="1"/>
  <c r="L117" i="1"/>
  <c r="K117" i="1"/>
  <c r="J117" i="1"/>
  <c r="X216" i="1" l="1"/>
  <c r="F216" i="1" s="1"/>
  <c r="P226" i="1"/>
  <c r="O226" i="1"/>
  <c r="N226" i="1"/>
  <c r="M226" i="1"/>
  <c r="L226" i="1"/>
  <c r="K226" i="1"/>
  <c r="J226" i="1"/>
  <c r="J231" i="1"/>
  <c r="X227" i="1" s="1"/>
  <c r="X221" i="1" l="1"/>
  <c r="K158" i="1"/>
  <c r="L158" i="1"/>
  <c r="M158" i="1"/>
  <c r="N158" i="1"/>
  <c r="O158" i="1"/>
  <c r="P158" i="1"/>
  <c r="J158" i="1"/>
  <c r="X154" i="1" l="1"/>
  <c r="K436" i="1"/>
  <c r="L436" i="1"/>
  <c r="M436" i="1"/>
  <c r="N436" i="1"/>
  <c r="O436" i="1"/>
  <c r="P436" i="1"/>
  <c r="J436" i="1"/>
  <c r="K426" i="1"/>
  <c r="L426" i="1"/>
  <c r="M426" i="1"/>
  <c r="N426" i="1"/>
  <c r="O426" i="1"/>
  <c r="P426" i="1"/>
  <c r="J426" i="1"/>
  <c r="J692" i="1"/>
  <c r="K581" i="1"/>
  <c r="L581" i="1"/>
  <c r="M581" i="1"/>
  <c r="N581" i="1"/>
  <c r="O581" i="1"/>
  <c r="P581" i="1"/>
  <c r="J581" i="1"/>
  <c r="K431" i="1"/>
  <c r="L431" i="1"/>
  <c r="M431" i="1"/>
  <c r="N431" i="1"/>
  <c r="O431" i="1"/>
  <c r="P431" i="1"/>
  <c r="J431" i="1"/>
  <c r="K601" i="1"/>
  <c r="L601" i="1"/>
  <c r="M601" i="1"/>
  <c r="N601" i="1"/>
  <c r="O601" i="1"/>
  <c r="P601" i="1"/>
  <c r="J601" i="1"/>
  <c r="X577" i="1" l="1"/>
  <c r="X432" i="1"/>
  <c r="F577" i="1"/>
  <c r="F432" i="1"/>
  <c r="X597" i="1"/>
  <c r="X427" i="1"/>
  <c r="X422" i="1"/>
  <c r="J47" i="1"/>
  <c r="K42" i="1"/>
  <c r="J42" i="1"/>
  <c r="P687" i="1" l="1"/>
  <c r="O687" i="1"/>
  <c r="N687" i="1"/>
  <c r="M687" i="1"/>
  <c r="L687" i="1"/>
  <c r="K687" i="1"/>
  <c r="J687" i="1"/>
  <c r="P681" i="1"/>
  <c r="O681" i="1"/>
  <c r="N681" i="1"/>
  <c r="M681" i="1"/>
  <c r="L681" i="1"/>
  <c r="X677" i="1" s="1"/>
  <c r="K681" i="1"/>
  <c r="J681" i="1"/>
  <c r="X682" i="1" l="1"/>
  <c r="F682" i="1" s="1"/>
  <c r="O586" i="1"/>
  <c r="O169" i="1" s="1"/>
  <c r="N586" i="1"/>
  <c r="M586" i="1"/>
  <c r="L586" i="1"/>
  <c r="X582" i="1" s="1"/>
  <c r="K586" i="1"/>
  <c r="J586" i="1"/>
  <c r="O174" i="1"/>
  <c r="N174" i="1"/>
  <c r="M174" i="1"/>
  <c r="L174" i="1"/>
  <c r="K174" i="1"/>
  <c r="J174" i="1"/>
  <c r="N168" i="1"/>
  <c r="M168" i="1"/>
  <c r="L168" i="1"/>
  <c r="K168" i="1"/>
  <c r="J168" i="1"/>
  <c r="O163" i="1"/>
  <c r="O138" i="1" s="1"/>
  <c r="N163" i="1"/>
  <c r="N138" i="1" s="1"/>
  <c r="M163" i="1"/>
  <c r="M138" i="1" s="1"/>
  <c r="L163" i="1"/>
  <c r="K163" i="1"/>
  <c r="J163" i="1"/>
  <c r="O153" i="1"/>
  <c r="N153" i="1"/>
  <c r="M153" i="1"/>
  <c r="L153" i="1"/>
  <c r="K153" i="1"/>
  <c r="J153" i="1"/>
  <c r="M148" i="1"/>
  <c r="L148" i="1"/>
  <c r="K148" i="1"/>
  <c r="J148" i="1"/>
  <c r="X159" i="1" l="1"/>
  <c r="X144" i="1"/>
  <c r="X149" i="1"/>
  <c r="K138" i="1"/>
  <c r="J138" i="1"/>
  <c r="X164" i="1"/>
  <c r="X138" i="1" l="1"/>
  <c r="F159" i="1"/>
  <c r="F138" i="1"/>
  <c r="O47" i="1"/>
  <c r="N47" i="1"/>
  <c r="M47" i="1"/>
  <c r="L47" i="1"/>
  <c r="K47" i="1"/>
  <c r="O42" i="1"/>
  <c r="N42" i="1"/>
  <c r="M42" i="1"/>
  <c r="L42" i="1"/>
  <c r="N37" i="1"/>
  <c r="M37" i="1"/>
  <c r="L37" i="1"/>
  <c r="K37" i="1"/>
  <c r="J37" i="1"/>
  <c r="L22" i="1" l="1"/>
  <c r="L19" i="1" s="1"/>
  <c r="M22" i="1"/>
  <c r="O19" i="1"/>
  <c r="X43" i="1"/>
  <c r="F43" i="1" s="1"/>
  <c r="F30" i="1"/>
  <c r="X38" i="1"/>
  <c r="K22" i="1"/>
  <c r="K19" i="1" s="1"/>
  <c r="J22" i="1"/>
  <c r="J99" i="1"/>
  <c r="J77" i="1"/>
  <c r="N19" i="1" l="1"/>
  <c r="M19" i="1"/>
  <c r="K205" i="1"/>
  <c r="L205" i="1"/>
  <c r="M205" i="1"/>
  <c r="N205" i="1"/>
  <c r="O205" i="1"/>
  <c r="P205" i="1"/>
  <c r="K326" i="1"/>
  <c r="O326" i="1"/>
  <c r="K341" i="1"/>
  <c r="L341" i="1"/>
  <c r="X337" i="1" s="1"/>
  <c r="M341" i="1"/>
  <c r="M596" i="1"/>
  <c r="K361" i="1"/>
  <c r="L361" i="1"/>
  <c r="N361" i="1"/>
  <c r="O361" i="1"/>
  <c r="P361" i="1"/>
  <c r="M326" i="1"/>
  <c r="L326" i="1"/>
  <c r="K336" i="1"/>
  <c r="L336" i="1"/>
  <c r="X332" i="1" s="1"/>
  <c r="M336" i="1"/>
  <c r="N336" i="1"/>
  <c r="O336" i="1"/>
  <c r="P336" i="1"/>
  <c r="P596" i="1"/>
  <c r="O596" i="1"/>
  <c r="N596" i="1"/>
  <c r="L596" i="1"/>
  <c r="X592" i="1" s="1"/>
  <c r="K596" i="1"/>
  <c r="J596" i="1"/>
  <c r="J783" i="1"/>
  <c r="J105" i="1"/>
  <c r="J111" i="1"/>
  <c r="X322" i="1" l="1"/>
  <c r="X201" i="1"/>
  <c r="X19" i="1"/>
  <c r="F332" i="1"/>
  <c r="F201" i="1"/>
  <c r="F337" i="1"/>
  <c r="J6" i="1"/>
  <c r="K331" i="1" l="1"/>
  <c r="L331" i="1"/>
  <c r="M331" i="1"/>
  <c r="N331" i="1"/>
  <c r="O331" i="1"/>
  <c r="P331" i="1"/>
  <c r="J331" i="1"/>
  <c r="J185" i="1"/>
  <c r="M361" i="1"/>
  <c r="X357" i="1" s="1"/>
  <c r="X327" i="1" l="1"/>
  <c r="F327" i="1" s="1"/>
  <c r="K306" i="1"/>
  <c r="L306" i="1"/>
  <c r="M306" i="1"/>
  <c r="N306" i="1"/>
  <c r="O306" i="1"/>
  <c r="P306" i="1"/>
  <c r="J306" i="1"/>
  <c r="K6" i="1"/>
  <c r="L6" i="1"/>
  <c r="M6" i="1"/>
  <c r="N6" i="1"/>
  <c r="O6" i="1"/>
  <c r="J271" i="1"/>
  <c r="X302" i="1" l="1"/>
  <c r="F302" i="1" s="1"/>
  <c r="P416" i="1"/>
  <c r="O416" i="1"/>
  <c r="N416" i="1"/>
  <c r="M416" i="1"/>
  <c r="X412" i="1" s="1"/>
  <c r="L416" i="1"/>
  <c r="K416" i="1"/>
  <c r="J416" i="1"/>
  <c r="K411" i="1"/>
  <c r="L411" i="1"/>
  <c r="M411" i="1"/>
  <c r="N411" i="1"/>
  <c r="O411" i="1"/>
  <c r="P411" i="1"/>
  <c r="J411" i="1"/>
  <c r="K356" i="1"/>
  <c r="L356" i="1"/>
  <c r="M356" i="1"/>
  <c r="N356" i="1"/>
  <c r="O356" i="1"/>
  <c r="P356" i="1"/>
  <c r="J356" i="1"/>
  <c r="K351" i="1"/>
  <c r="L351" i="1"/>
  <c r="M351" i="1"/>
  <c r="N351" i="1"/>
  <c r="O351" i="1"/>
  <c r="P351" i="1"/>
  <c r="J351" i="1"/>
  <c r="K346" i="1"/>
  <c r="L346" i="1"/>
  <c r="M346" i="1"/>
  <c r="N346" i="1"/>
  <c r="O346" i="1"/>
  <c r="P346" i="1"/>
  <c r="J346" i="1"/>
  <c r="K321" i="1"/>
  <c r="L321" i="1"/>
  <c r="M321" i="1"/>
  <c r="N321" i="1"/>
  <c r="O321" i="1"/>
  <c r="J321" i="1"/>
  <c r="K296" i="1"/>
  <c r="L296" i="1"/>
  <c r="M296" i="1"/>
  <c r="N296" i="1"/>
  <c r="O296" i="1"/>
  <c r="P296" i="1"/>
  <c r="K301" i="1"/>
  <c r="L301" i="1"/>
  <c r="M301" i="1"/>
  <c r="N301" i="1"/>
  <c r="O301" i="1"/>
  <c r="P301" i="1"/>
  <c r="J257" i="1"/>
  <c r="X292" i="1" l="1"/>
  <c r="X407" i="1"/>
  <c r="X317" i="1"/>
  <c r="X342" i="1"/>
  <c r="X297" i="1"/>
  <c r="F297" i="1"/>
  <c r="F412" i="1"/>
  <c r="F342" i="1"/>
  <c r="F317" i="1"/>
  <c r="F292" i="1"/>
  <c r="F407" i="1"/>
  <c r="F322" i="1"/>
  <c r="X352" i="1"/>
  <c r="F352" i="1" s="1"/>
  <c r="X347" i="1"/>
  <c r="K200" i="1"/>
  <c r="J200" i="1"/>
  <c r="P782" i="1" l="1"/>
  <c r="O782" i="1"/>
  <c r="N782" i="1"/>
  <c r="L782" i="1"/>
  <c r="K782" i="1"/>
  <c r="J782" i="1"/>
  <c r="M782" i="1"/>
  <c r="P777" i="1"/>
  <c r="O777" i="1"/>
  <c r="N777" i="1"/>
  <c r="M777" i="1"/>
  <c r="L777" i="1"/>
  <c r="K777" i="1"/>
  <c r="J777" i="1"/>
  <c r="P421" i="1"/>
  <c r="O421" i="1"/>
  <c r="N421" i="1"/>
  <c r="M421" i="1"/>
  <c r="L421" i="1"/>
  <c r="X417" i="1" s="1"/>
  <c r="K421" i="1"/>
  <c r="J421" i="1"/>
  <c r="F417" i="1" l="1"/>
  <c r="X773" i="1"/>
  <c r="F773" i="1" s="1"/>
  <c r="X778" i="1"/>
  <c r="P189" i="1"/>
  <c r="O189" i="1"/>
  <c r="K606" i="1" l="1"/>
  <c r="L606" i="1"/>
  <c r="M606" i="1"/>
  <c r="N606" i="1"/>
  <c r="O606" i="1"/>
  <c r="P606" i="1"/>
  <c r="J606" i="1"/>
  <c r="F597" i="1" l="1"/>
  <c r="F592" i="1"/>
  <c r="X602" i="1"/>
  <c r="K184" i="1" l="1"/>
  <c r="J184" i="1"/>
  <c r="J205" i="1"/>
  <c r="P184" i="1"/>
  <c r="O184" i="1"/>
  <c r="N184" i="1"/>
  <c r="M184" i="1"/>
  <c r="X180" i="1" s="1"/>
  <c r="L184" i="1"/>
  <c r="F180" i="1" l="1"/>
  <c r="J177" i="1"/>
  <c r="J176" i="1"/>
  <c r="J179" i="1" l="1"/>
  <c r="M93" i="1"/>
  <c r="O93" i="1"/>
  <c r="O59" i="1" s="1"/>
  <c r="P93" i="1"/>
  <c r="P59" i="1" s="1"/>
  <c r="L93" i="1"/>
  <c r="X87" i="1" s="1"/>
  <c r="F87" i="1" s="1"/>
  <c r="K93" i="1"/>
  <c r="J88" i="1"/>
  <c r="J61" i="1"/>
  <c r="J65" i="1" s="1"/>
  <c r="J93" i="1" l="1"/>
  <c r="J59" i="1" s="1"/>
  <c r="J21" i="1" l="1"/>
  <c r="N316" i="1"/>
  <c r="O316" i="1"/>
  <c r="P316" i="1"/>
  <c r="J190" i="1"/>
  <c r="K748" i="1" l="1"/>
  <c r="J748" i="1"/>
  <c r="P77" i="1" l="1"/>
  <c r="O77" i="1"/>
  <c r="N77" i="1"/>
  <c r="L77" i="1"/>
  <c r="K77" i="1"/>
  <c r="P65" i="1"/>
  <c r="O65" i="1"/>
  <c r="N65" i="1"/>
  <c r="M65" i="1"/>
  <c r="M59" i="1" s="1"/>
  <c r="L65" i="1"/>
  <c r="K65" i="1"/>
  <c r="M21" i="1" l="1"/>
  <c r="X72" i="1"/>
  <c r="X60" i="1"/>
  <c r="L59" i="1"/>
  <c r="K752" i="1"/>
  <c r="L752" i="1"/>
  <c r="X59" i="1" l="1"/>
  <c r="X21" i="1" s="1"/>
  <c r="N21" i="1"/>
  <c r="F60" i="1"/>
  <c r="F72" i="1"/>
  <c r="F59" i="1" s="1"/>
  <c r="J772" i="1"/>
  <c r="J406" i="1"/>
  <c r="F21" i="1" l="1"/>
  <c r="P401" i="1"/>
  <c r="O401" i="1"/>
  <c r="N401" i="1"/>
  <c r="M401" i="1"/>
  <c r="L401" i="1"/>
  <c r="K401" i="1"/>
  <c r="J401" i="1"/>
  <c r="X397" i="1" l="1"/>
  <c r="F397" i="1"/>
  <c r="P406" i="1"/>
  <c r="O406" i="1"/>
  <c r="N406" i="1"/>
  <c r="M406" i="1"/>
  <c r="L406" i="1"/>
  <c r="K406" i="1"/>
  <c r="J301" i="1"/>
  <c r="X402" i="1" l="1"/>
  <c r="F402" i="1" s="1"/>
  <c r="J261" i="1"/>
  <c r="J787" i="1" l="1"/>
  <c r="K787" i="1"/>
  <c r="L787" i="1"/>
  <c r="M787" i="1"/>
  <c r="N787" i="1"/>
  <c r="O787" i="1"/>
  <c r="P787" i="1"/>
  <c r="K772" i="1"/>
  <c r="L772" i="1"/>
  <c r="M772" i="1"/>
  <c r="N772" i="1"/>
  <c r="O772" i="1"/>
  <c r="P772" i="1"/>
  <c r="J767" i="1"/>
  <c r="K767" i="1"/>
  <c r="L767" i="1"/>
  <c r="M767" i="1"/>
  <c r="N767" i="1"/>
  <c r="O767" i="1"/>
  <c r="P767" i="1"/>
  <c r="X763" i="1" s="1"/>
  <c r="F763" i="1" s="1"/>
  <c r="J762" i="1"/>
  <c r="K762" i="1"/>
  <c r="L762" i="1"/>
  <c r="M762" i="1"/>
  <c r="N762" i="1"/>
  <c r="O762" i="1"/>
  <c r="P762" i="1"/>
  <c r="J757" i="1"/>
  <c r="K757" i="1"/>
  <c r="L757" i="1"/>
  <c r="M757" i="1"/>
  <c r="N757" i="1"/>
  <c r="O757" i="1"/>
  <c r="P757" i="1"/>
  <c r="J752" i="1"/>
  <c r="M752" i="1"/>
  <c r="N752" i="1"/>
  <c r="O752" i="1"/>
  <c r="P752" i="1"/>
  <c r="J666" i="1"/>
  <c r="K666" i="1"/>
  <c r="L666" i="1"/>
  <c r="M666" i="1"/>
  <c r="N666" i="1"/>
  <c r="O666" i="1"/>
  <c r="P666" i="1"/>
  <c r="J661" i="1"/>
  <c r="K661" i="1"/>
  <c r="L661" i="1"/>
  <c r="M661" i="1"/>
  <c r="N661" i="1"/>
  <c r="O661" i="1"/>
  <c r="P661" i="1"/>
  <c r="J376" i="1"/>
  <c r="K376" i="1"/>
  <c r="L376" i="1"/>
  <c r="M376" i="1"/>
  <c r="N376" i="1"/>
  <c r="O376" i="1"/>
  <c r="P376" i="1"/>
  <c r="K261" i="1"/>
  <c r="L261" i="1"/>
  <c r="M261" i="1"/>
  <c r="N261" i="1"/>
  <c r="O261" i="1"/>
  <c r="P261" i="1"/>
  <c r="J251" i="1"/>
  <c r="K251" i="1"/>
  <c r="L251" i="1"/>
  <c r="M251" i="1"/>
  <c r="N251" i="1"/>
  <c r="O251" i="1"/>
  <c r="P251" i="1"/>
  <c r="J246" i="1"/>
  <c r="K246" i="1"/>
  <c r="L246" i="1"/>
  <c r="M246" i="1"/>
  <c r="N246" i="1"/>
  <c r="O246" i="1"/>
  <c r="P246" i="1"/>
  <c r="J194" i="1"/>
  <c r="K194" i="1"/>
  <c r="L194" i="1"/>
  <c r="M194" i="1"/>
  <c r="N194" i="1"/>
  <c r="O194" i="1"/>
  <c r="J189" i="1"/>
  <c r="K189" i="1"/>
  <c r="L189" i="1"/>
  <c r="M189" i="1"/>
  <c r="N189" i="1"/>
  <c r="K179" i="1"/>
  <c r="L179" i="1"/>
  <c r="M179" i="1"/>
  <c r="N179" i="1"/>
  <c r="O179" i="1"/>
  <c r="P179" i="1"/>
  <c r="X768" i="1" l="1"/>
  <c r="X662" i="1"/>
  <c r="X753" i="1"/>
  <c r="X185" i="1"/>
  <c r="F185" i="1" s="1"/>
  <c r="X657" i="1"/>
  <c r="F657" i="1" s="1"/>
  <c r="X247" i="1"/>
  <c r="F247" i="1" s="1"/>
  <c r="X190" i="1"/>
  <c r="F190" i="1" s="1"/>
  <c r="X257" i="1"/>
  <c r="F257" i="1" s="1"/>
  <c r="F753" i="1"/>
  <c r="X748" i="1"/>
  <c r="F662" i="1"/>
  <c r="F768" i="1"/>
  <c r="X242" i="1"/>
  <c r="X175" i="1"/>
  <c r="X758" i="1"/>
  <c r="F758" i="1" s="1"/>
  <c r="X783" i="1"/>
  <c r="X372" i="1"/>
  <c r="P12" i="1"/>
  <c r="L12" i="1"/>
  <c r="N12" i="1"/>
  <c r="O12" i="1"/>
  <c r="K12" i="1"/>
  <c r="M12" i="1"/>
  <c r="J19" i="1"/>
  <c r="K99" i="1"/>
  <c r="K59" i="1" s="1"/>
  <c r="L99" i="1"/>
  <c r="M99" i="1"/>
  <c r="N99" i="1"/>
  <c r="O99" i="1"/>
  <c r="P99" i="1"/>
  <c r="K105" i="1"/>
  <c r="L105" i="1"/>
  <c r="M105" i="1"/>
  <c r="N105" i="1"/>
  <c r="O105" i="1"/>
  <c r="P105" i="1"/>
  <c r="K111" i="1"/>
  <c r="L111" i="1"/>
  <c r="M111" i="1"/>
  <c r="N111" i="1"/>
  <c r="O111" i="1"/>
  <c r="P111" i="1"/>
  <c r="F242" i="1" l="1"/>
  <c r="F783" i="1"/>
  <c r="F175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6" i="1"/>
  <c r="J291" i="1"/>
  <c r="K291" i="1"/>
  <c r="L291" i="1"/>
  <c r="M291" i="1"/>
  <c r="N291" i="1"/>
  <c r="O291" i="1"/>
  <c r="P291" i="1"/>
  <c r="J281" i="1"/>
  <c r="K281" i="1"/>
  <c r="L281" i="1"/>
  <c r="X277" i="1" s="1"/>
  <c r="M281" i="1"/>
  <c r="N281" i="1"/>
  <c r="O281" i="1"/>
  <c r="P281" i="1"/>
  <c r="J276" i="1"/>
  <c r="K276" i="1"/>
  <c r="L276" i="1"/>
  <c r="M276" i="1"/>
  <c r="N276" i="1"/>
  <c r="O276" i="1"/>
  <c r="P276" i="1"/>
  <c r="K271" i="1"/>
  <c r="L271" i="1"/>
  <c r="M271" i="1"/>
  <c r="N271" i="1"/>
  <c r="O271" i="1"/>
  <c r="J266" i="1"/>
  <c r="K266" i="1"/>
  <c r="L266" i="1"/>
  <c r="M266" i="1"/>
  <c r="N266" i="1"/>
  <c r="O266" i="1"/>
  <c r="P266" i="1"/>
  <c r="X287" i="1" l="1"/>
  <c r="X272" i="1"/>
  <c r="X267" i="1"/>
  <c r="X262" i="1"/>
  <c r="P169" i="1"/>
  <c r="F272" i="1"/>
  <c r="F267" i="1"/>
  <c r="F287" i="1"/>
  <c r="F277" i="1"/>
  <c r="J9" i="1"/>
  <c r="K21" i="1"/>
  <c r="J17" i="1"/>
  <c r="P591" i="1"/>
  <c r="O591" i="1"/>
  <c r="N591" i="1"/>
  <c r="M591" i="1"/>
  <c r="L591" i="1"/>
  <c r="X587" i="1" s="1"/>
  <c r="K591" i="1"/>
  <c r="J591" i="1"/>
  <c r="P371" i="1"/>
  <c r="O371" i="1"/>
  <c r="N371" i="1"/>
  <c r="M371" i="1"/>
  <c r="L371" i="1"/>
  <c r="K371" i="1"/>
  <c r="J371" i="1"/>
  <c r="P366" i="1"/>
  <c r="O366" i="1"/>
  <c r="N366" i="1"/>
  <c r="M366" i="1"/>
  <c r="L366" i="1"/>
  <c r="K366" i="1"/>
  <c r="J366" i="1"/>
  <c r="J361" i="1"/>
  <c r="J12" i="1" s="1"/>
  <c r="J341" i="1"/>
  <c r="J336" i="1"/>
  <c r="J326" i="1"/>
  <c r="M316" i="1"/>
  <c r="L316" i="1"/>
  <c r="X312" i="1" s="1"/>
  <c r="K316" i="1"/>
  <c r="J316" i="1"/>
  <c r="M311" i="1"/>
  <c r="M169" i="1" s="1"/>
  <c r="M20" i="1" s="1"/>
  <c r="L311" i="1"/>
  <c r="X307" i="1" s="1"/>
  <c r="K311" i="1"/>
  <c r="J311" i="1"/>
  <c r="J296" i="1"/>
  <c r="K122" i="1"/>
  <c r="J122" i="1"/>
  <c r="N169" i="1" l="1"/>
  <c r="N20" i="1" s="1"/>
  <c r="X362" i="1"/>
  <c r="X169" i="1" s="1"/>
  <c r="F307" i="1"/>
  <c r="O20" i="1"/>
  <c r="P20" i="1"/>
  <c r="F262" i="1"/>
  <c r="F587" i="1"/>
  <c r="L169" i="1"/>
  <c r="K169" i="1"/>
  <c r="K20" i="1" s="1"/>
  <c r="N10" i="1"/>
  <c r="N11" i="1" s="1"/>
  <c r="K10" i="1"/>
  <c r="K11" i="1" s="1"/>
  <c r="L10" i="1"/>
  <c r="L11" i="1" s="1"/>
  <c r="J169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7" i="1"/>
  <c r="X20" i="1" l="1"/>
  <c r="F362" i="1"/>
  <c r="F312" i="1"/>
  <c r="F169" i="1" s="1"/>
  <c r="L20" i="1"/>
  <c r="L18" i="1" s="1"/>
  <c r="L137" i="1"/>
  <c r="M137" i="1"/>
  <c r="P137" i="1"/>
  <c r="O137" i="1"/>
  <c r="M18" i="1"/>
  <c r="K137" i="1"/>
  <c r="J7" i="1"/>
  <c r="N137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7" i="1"/>
  <c r="J18" i="1" s="1"/>
  <c r="K18" i="1"/>
  <c r="F20" i="1" l="1"/>
  <c r="X137" i="1"/>
  <c r="X18" i="1"/>
  <c r="P13" i="1"/>
  <c r="P15" i="1" s="1"/>
  <c r="P18" i="1"/>
  <c r="N18" i="1"/>
  <c r="F123" i="1"/>
  <c r="F122" i="1" s="1"/>
  <c r="F137" i="1" l="1"/>
  <c r="F19" i="1"/>
  <c r="F18" i="1" s="1"/>
</calcChain>
</file>

<file path=xl/sharedStrings.xml><?xml version="1.0" encoding="utf-8"?>
<sst xmlns="http://schemas.openxmlformats.org/spreadsheetml/2006/main" count="1176" uniqueCount="265">
  <si>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</si>
  <si>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</si>
  <si>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</si>
  <si>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</si>
  <si>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</si>
  <si>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</si>
  <si>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</si>
  <si>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</si>
  <si>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</si>
  <si>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</si>
  <si>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</si>
  <si>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</si>
  <si>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</si>
  <si>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</si>
  <si>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</si>
  <si>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</si>
  <si>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</si>
  <si>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</si>
  <si>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</si>
  <si>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</si>
  <si>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</si>
  <si>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</si>
  <si>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</si>
  <si>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</si>
  <si>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</si>
  <si>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</si>
  <si>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</si>
  <si>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</si>
  <si>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</si>
  <si>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</si>
  <si>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</si>
  <si>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</si>
  <si>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</si>
  <si>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</si>
  <si>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</si>
  <si>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</si>
  <si>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</si>
  <si>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</si>
  <si>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</si>
  <si>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</si>
  <si>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</si>
  <si>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</si>
  <si>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</si>
  <si>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</si>
  <si>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</si>
  <si>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</si>
  <si>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</si>
  <si>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</si>
  <si>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</si>
  <si>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</si>
  <si>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</si>
  <si>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</si>
  <si>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</si>
  <si>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</si>
  <si>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</si>
  <si>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</si>
  <si>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</si>
  <si>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</si>
  <si>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</si>
  <si>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</si>
  <si>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</si>
  <si>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</si>
  <si>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</si>
  <si>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</si>
  <si>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</si>
  <si>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</si>
  <si>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</si>
  <si>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</si>
  <si>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</si>
  <si>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</si>
  <si>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</si>
  <si>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</si>
  <si>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</si>
  <si>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</si>
  <si>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</si>
  <si>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</si>
  <si>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</si>
  <si>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 xml:space="preserve">Boisko do piłki nożnej na terenie sportowo-rekreacyjnym w Kwakowie - budowa, rozbudowa i modernizacja infrastruktury sportowo - rekreacyjno - edukacyjnej w miejscowości Kwakowo 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</si>
  <si>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</si>
  <si>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</si>
  <si>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</si>
  <si>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</si>
  <si>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</si>
  <si>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</si>
  <si>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</si>
  <si>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</si>
  <si>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</si>
  <si>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</si>
  <si>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</si>
  <si>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</si>
  <si>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</si>
  <si>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</si>
  <si>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</si>
  <si>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</si>
  <si>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</si>
  <si>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</si>
  <si>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</si>
  <si>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</si>
  <si>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</si>
  <si>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</si>
  <si>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</si>
  <si>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</si>
  <si>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</si>
  <si>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</si>
  <si>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</si>
  <si>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</si>
  <si>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</si>
  <si>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</si>
  <si>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</si>
  <si>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</si>
  <si>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</si>
  <si>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</si>
  <si>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</si>
  <si>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</si>
  <si>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</si>
  <si>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</si>
  <si>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</si>
  <si>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</si>
  <si>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</si>
  <si>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</si>
  <si>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</si>
  <si>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</si>
  <si>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</si>
  <si>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</si>
  <si>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</si>
  <si>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Poprawa efektywności systemów oświetlenia zewnętrznego na terenie obszaru funkcjonalnego Miasta Słupska 
</t>
    </r>
    <r>
      <rPr>
        <sz val="6.5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</si>
  <si>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</si>
  <si>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</si>
  <si>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</si>
  <si>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</si>
  <si>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</si>
  <si>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</si>
  <si>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</si>
  <si>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</si>
  <si>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</si>
  <si>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</si>
  <si>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</si>
  <si>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</si>
  <si>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</si>
  <si>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</si>
  <si>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</si>
  <si>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</si>
  <si>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</si>
  <si>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</si>
  <si>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</si>
  <si>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</si>
  <si>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</si>
  <si>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</si>
  <si>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</si>
  <si>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</si>
  <si>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</si>
  <si>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</si>
  <si>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</si>
  <si>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</si>
  <si>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</si>
  <si>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</si>
  <si>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</si>
  <si>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</si>
  <si>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</si>
  <si>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</si>
  <si>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</si>
  <si>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</si>
  <si>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</si>
  <si>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</si>
  <si>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</si>
  <si>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</si>
  <si>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</si>
  <si>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</si>
  <si>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</si>
  <si>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</si>
  <si>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</si>
  <si>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</si>
  <si>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</si>
  <si>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</si>
  <si>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</si>
  <si>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</si>
  <si>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</si>
  <si>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</si>
  <si>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</si>
  <si>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</si>
  <si>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</si>
  <si>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</si>
  <si>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</si>
  <si>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</si>
  <si>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</si>
  <si>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</si>
  <si>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</si>
  <si>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</si>
  <si>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</si>
  <si>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</si>
  <si>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</si>
  <si>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</si>
  <si>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</si>
  <si>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</si>
  <si>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</si>
  <si>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</si>
  <si>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</si>
  <si>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</si>
  <si>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</si>
  <si>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</si>
  <si>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</si>
  <si>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</si>
  <si>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</si>
  <si>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</si>
  <si>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</si>
  <si>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</si>
  <si>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</si>
  <si>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</si>
  <si>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</si>
  <si>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</si>
  <si>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</si>
  <si>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</si>
  <si>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</si>
  <si>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</si>
  <si>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</si>
  <si>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</si>
  <si>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</si>
  <si>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</si>
  <si>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</si>
  <si>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</si>
  <si>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</si>
  <si>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</si>
  <si>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</si>
  <si>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</si>
  <si>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</si>
  <si>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</si>
  <si>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</si>
  <si>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</si>
  <si>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</si>
  <si>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</si>
  <si>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</si>
  <si>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</si>
  <si>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</si>
  <si>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</si>
  <si>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</si>
  <si>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</si>
  <si>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</si>
  <si>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</si>
  <si>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</si>
  <si>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</si>
  <si>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</si>
  <si>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</si>
  <si>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</si>
  <si>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</si>
  <si>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</si>
  <si>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</si>
  <si>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</si>
  <si>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</si>
  <si>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</si>
  <si>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</si>
  <si>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</si>
  <si>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</si>
  <si>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</si>
  <si>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</si>
  <si>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</si>
  <si>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</si>
  <si>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</si>
  <si>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</si>
  <si>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</si>
  <si>
    <t xml:space="preserve">Budowa drogi gminnej wraz z budową ciągu pieszo-rowerowego pomiędzy miejscowościami Łosino i Zajączkowo
</t>
  </si>
  <si>
    <t>URZĄD MIEJSKI W KOBYLNICY</t>
  </si>
  <si>
    <t xml:space="preserve">Rozbudowa drogi gminnej ulicy Kościeliskiej wraz z budową przejścia dla pieszych w ciągu drogi gminnej ulicy J. Szczypińskiej w Kobylnicy
</t>
  </si>
  <si>
    <t>Termomodernizacja szkoły podstawowej w Sycewicach</t>
  </si>
  <si>
    <t>OŚRODEK POMOCY SPOŁECZN. W KOBYLNICY</t>
  </si>
  <si>
    <r>
      <t xml:space="preserve"> "Równe szanse"                                                 </t>
    </r>
    <r>
      <rPr>
        <sz val="7"/>
        <rFont val="Arial"/>
        <family val="2"/>
        <charset val="238"/>
      </rPr>
      <t>kompleksowe usługi społeczno-zdrowotne na rzecz seniorów i osób z niepełnosprawnościami - Poprawa jakości życia mieszkańców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</si>
</sst>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  <font>
      <sz val="6.5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82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6" fontId="34" fillId="22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4" fillId="18" borderId="13" xfId="0" applyFont="1" applyFill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6" fillId="0" borderId="0" xfId="0" applyNumberFormat="1" applyFont="1"/>
    <xf numFmtId="169" fontId="47" fillId="0" borderId="0" xfId="0" applyNumberFormat="1" applyFont="1"/>
    <xf numFmtId="49" fontId="48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6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49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0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8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1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49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4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4" fillId="18" borderId="16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2" fillId="13" borderId="14" xfId="0" applyNumberFormat="1" applyFont="1" applyFill="1" applyBorder="1" applyAlignment="1">
      <alignment vertical="center"/>
    </xf>
    <xf numFmtId="3" fontId="52" fillId="13" borderId="16" xfId="0" applyNumberFormat="1" applyFont="1" applyFill="1" applyBorder="1" applyAlignment="1">
      <alignment vertical="center"/>
    </xf>
    <xf numFmtId="166" fontId="34" fillId="18" borderId="14" xfId="0" applyNumberFormat="1" applyFont="1" applyFill="1" applyBorder="1" applyAlignment="1">
      <alignment horizontal="right" vertical="center" wrapText="1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166" fontId="4" fillId="12" borderId="13" xfId="0" applyNumberFormat="1" applyFont="1" applyFill="1" applyBorder="1" applyAlignment="1">
      <alignment horizontal="right" vertical="center" wrapText="1"/>
    </xf>
    <xf numFmtId="166" fontId="4" fillId="12" borderId="20" xfId="0" applyNumberFormat="1" applyFont="1" applyFill="1" applyBorder="1" applyAlignment="1">
      <alignment horizontal="right" vertical="center" wrapText="1"/>
    </xf>
    <xf numFmtId="166" fontId="34" fillId="10" borderId="13" xfId="0" applyNumberFormat="1" applyFont="1" applyFill="1" applyBorder="1" applyAlignment="1">
      <alignment horizontal="right" vertical="center" wrapText="1"/>
    </xf>
    <xf numFmtId="164" fontId="58" fillId="0" borderId="13" xfId="0" applyNumberFormat="1" applyFont="1" applyBorder="1" applyAlignment="1">
      <alignment horizontal="right" vertical="center" wrapText="1"/>
    </xf>
    <xf numFmtId="165" fontId="59" fillId="29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36" fillId="18" borderId="13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6" fillId="0" borderId="0" xfId="0" applyFont="1" applyAlignment="1">
      <alignment horizontal="center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0" fontId="29" fillId="13" borderId="13" xfId="0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168" fontId="23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center" vertical="center" wrapText="1"/>
    </xf>
    <xf numFmtId="164" fontId="4" fillId="18" borderId="15" xfId="0" applyNumberFormat="1" applyFont="1" applyFill="1" applyBorder="1" applyAlignment="1">
      <alignment horizontal="center" vertical="center" wrapText="1"/>
    </xf>
    <xf numFmtId="164" fontId="4" fillId="18" borderId="16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0" fontId="45" fillId="13" borderId="13" xfId="0" applyFont="1" applyFill="1" applyBorder="1" applyAlignment="1">
      <alignment horizontal="center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164" fontId="34" fillId="22" borderId="13" xfId="0" applyNumberFormat="1" applyFont="1" applyFill="1" applyBorder="1" applyAlignment="1">
      <alignment horizontal="right" vertical="center" wrapText="1"/>
    </xf>
    <xf numFmtId="0" fontId="25" fillId="11" borderId="3" xfId="0" applyFont="1" applyFill="1" applyBorder="1" applyAlignment="1">
      <alignment horizontal="center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56" fillId="31" borderId="13" xfId="0" applyFont="1" applyFill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53" fillId="11" borderId="4" xfId="0" applyFont="1" applyFill="1" applyBorder="1" applyAlignment="1">
      <alignment horizontal="center" vertical="center" wrapText="1"/>
    </xf>
    <xf numFmtId="0" fontId="53" fillId="11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0C0C0"/>
      <color rgb="FFFFFF99"/>
      <color rgb="FF99FF99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8"/>
  <sheetViews>
    <sheetView tabSelected="1" view="pageLayout" topLeftCell="A738" zoomScale="110" zoomScaleNormal="118" zoomScaleSheetLayoutView="118" zoomScalePageLayoutView="110" workbookViewId="0">
      <selection activeCell="N594" sqref="N594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496" t="s">
        <v>0</v>
      </c>
      <c r="B1" s="496" t="s">
        <v>1</v>
      </c>
      <c r="C1" s="497" t="s">
        <v>2</v>
      </c>
      <c r="D1" s="497"/>
      <c r="E1" s="498" t="s">
        <v>3</v>
      </c>
      <c r="F1" s="499" t="s">
        <v>67</v>
      </c>
      <c r="G1" s="497" t="s">
        <v>4</v>
      </c>
      <c r="H1" s="500"/>
      <c r="I1" s="507" t="s">
        <v>230</v>
      </c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6" t="s">
        <v>166</v>
      </c>
    </row>
    <row r="2" spans="1:25" ht="3.75" customHeight="1">
      <c r="A2" s="496"/>
      <c r="B2" s="496"/>
      <c r="C2" s="497"/>
      <c r="D2" s="497"/>
      <c r="E2" s="498"/>
      <c r="F2" s="499"/>
      <c r="G2" s="497"/>
      <c r="H2" s="500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6"/>
    </row>
    <row r="3" spans="1:25" ht="19.5" customHeight="1">
      <c r="A3" s="496"/>
      <c r="B3" s="496"/>
      <c r="C3" s="73" t="s">
        <v>5</v>
      </c>
      <c r="D3" s="73" t="s">
        <v>6</v>
      </c>
      <c r="E3" s="498"/>
      <c r="F3" s="499"/>
      <c r="G3" s="73" t="s">
        <v>7</v>
      </c>
      <c r="H3" s="305" t="s">
        <v>8</v>
      </c>
      <c r="I3" s="307" t="s">
        <v>69</v>
      </c>
      <c r="J3" s="308">
        <v>2019</v>
      </c>
      <c r="K3" s="308">
        <v>2020</v>
      </c>
      <c r="L3" s="308">
        <v>2022</v>
      </c>
      <c r="M3" s="308">
        <v>2024</v>
      </c>
      <c r="N3" s="308">
        <v>2025</v>
      </c>
      <c r="O3" s="308">
        <v>2026</v>
      </c>
      <c r="P3" s="308">
        <v>2027</v>
      </c>
      <c r="Q3" s="308">
        <v>2028</v>
      </c>
      <c r="R3" s="308">
        <v>2029</v>
      </c>
      <c r="S3" s="308">
        <v>2030</v>
      </c>
      <c r="T3" s="308">
        <v>2031</v>
      </c>
      <c r="U3" s="308">
        <v>2032</v>
      </c>
      <c r="V3" s="309">
        <v>2033</v>
      </c>
      <c r="W3" s="309">
        <v>2034</v>
      </c>
      <c r="X3" s="506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6">
        <v>9</v>
      </c>
      <c r="J4" s="306">
        <v>9</v>
      </c>
      <c r="K4" s="306">
        <v>10</v>
      </c>
      <c r="L4" s="306">
        <v>11</v>
      </c>
      <c r="M4" s="306">
        <v>10</v>
      </c>
      <c r="N4" s="306">
        <v>11</v>
      </c>
      <c r="O4" s="306">
        <v>12</v>
      </c>
      <c r="P4" s="306">
        <v>13</v>
      </c>
      <c r="Q4" s="306">
        <v>14</v>
      </c>
      <c r="R4" s="306">
        <v>15</v>
      </c>
      <c r="S4" s="306">
        <v>16</v>
      </c>
      <c r="T4" s="306">
        <v>17</v>
      </c>
      <c r="U4" s="306">
        <v>18</v>
      </c>
      <c r="V4" s="306">
        <v>19</v>
      </c>
      <c r="W4" s="306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87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#REF!+J65+J77+J93+#REF!+J99+J105+J111+#REF!+J179+#REF!+J787-J104</f>
        <v>#REF!</v>
      </c>
      <c r="K8" s="30" t="e">
        <f>#REF!+K65+K77+K93+#REF!+K99+K105+K111+#REF!+K179+#REF!+K787-K104</f>
        <v>#REF!</v>
      </c>
      <c r="L8" s="30" t="e">
        <f>#REF!+L65+L77+L93+#REF!+L99+L105+L111+#REF!+L179+#REF!+L787-L104</f>
        <v>#REF!</v>
      </c>
      <c r="M8" s="30" t="e">
        <f>#REF!+M65+M77+M93+#REF!+M99+M105+M111+#REF!+M179+#REF!+M787-M104</f>
        <v>#REF!</v>
      </c>
      <c r="N8" s="30" t="e">
        <f>#REF!+N65+N77+N93+#REF!+N99+N105+N111+#REF!+N179+#REF!+N787-N104</f>
        <v>#REF!</v>
      </c>
      <c r="O8" s="30" t="e">
        <f>#REF!+O65+O77+O93+#REF!+O99+O105+O111+#REF!+O179+#REF!+O787-O104</f>
        <v>#REF!</v>
      </c>
      <c r="P8" s="30" t="e">
        <f>#REF!+P65+P77+P93+#REF!+P99+P105+P111+#REF!+P179+#REF!+P787-P104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88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84</v>
      </c>
      <c r="C10" s="5"/>
      <c r="D10" s="5"/>
      <c r="E10" s="6"/>
      <c r="F10" s="2"/>
      <c r="G10" s="2"/>
      <c r="H10" s="2"/>
      <c r="I10" s="2"/>
      <c r="J10" s="25">
        <f t="shared" ref="J10:O10" si="2">J184+J189+J246+J261+J266+J281+J301+J311++J321+J371+J411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</v>
      </c>
      <c r="P10" s="25">
        <f>P184+P189+P246+P261+P266+P281+P301+P311++Q321+P371+P411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89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85</v>
      </c>
      <c r="C12" s="5"/>
      <c r="D12" s="5"/>
      <c r="E12" s="6"/>
      <c r="F12" s="2"/>
      <c r="G12" s="2"/>
      <c r="H12" s="2"/>
      <c r="I12" s="2"/>
      <c r="J12" s="24">
        <f t="shared" ref="J12:P12" si="4">J200+J205+J231+J306+J606+J661+J666+J361+J406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1187000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90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J194+J251+J271+J276+J291+J296+J316+J326+J331+J336+J341+J346+J351+J356+J361+J366+J376+J406+J416+J591+J752+J757+J762+J777+J782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2129412</v>
      </c>
      <c r="O14" s="8">
        <f t="shared" si="6"/>
        <v>500000</v>
      </c>
      <c r="P14" s="8">
        <f t="shared" si="6"/>
        <v>3970000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91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83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86</v>
      </c>
      <c r="C17" s="28"/>
      <c r="D17" s="28"/>
      <c r="E17" s="28"/>
      <c r="F17" s="54"/>
      <c r="G17" s="28"/>
      <c r="H17" s="28"/>
      <c r="I17" s="26"/>
      <c r="J17" s="26" t="e">
        <f>#REF!+J401+J421+#REF!+#REF!+#REF!+J767+J772+J104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08" t="s">
        <v>18</v>
      </c>
      <c r="C18" s="508"/>
      <c r="D18" s="508"/>
      <c r="E18" s="508"/>
      <c r="F18" s="283">
        <f>F19+F20</f>
        <v>166802964.72</v>
      </c>
      <c r="G18" s="80" t="s">
        <v>11</v>
      </c>
      <c r="H18" s="80" t="s">
        <v>11</v>
      </c>
      <c r="I18" s="80" t="s">
        <v>11</v>
      </c>
      <c r="J18" s="79" t="e">
        <f>J21+J122+J137</f>
        <v>#REF!</v>
      </c>
      <c r="K18" s="81" t="e">
        <f t="shared" ref="K18:X18" si="8">K19+K20</f>
        <v>#REF!</v>
      </c>
      <c r="L18" s="79">
        <f t="shared" si="8"/>
        <v>0</v>
      </c>
      <c r="M18" s="314">
        <f t="shared" si="8"/>
        <v>0</v>
      </c>
      <c r="N18" s="347">
        <f t="shared" si="8"/>
        <v>34014012.359999999</v>
      </c>
      <c r="O18" s="79">
        <f t="shared" si="8"/>
        <v>11159168</v>
      </c>
      <c r="P18" s="79">
        <f t="shared" si="8"/>
        <v>13873358</v>
      </c>
      <c r="Q18" s="13">
        <f t="shared" si="8"/>
        <v>12334460</v>
      </c>
      <c r="R18" s="13">
        <f t="shared" si="8"/>
        <v>12689998</v>
      </c>
      <c r="S18" s="13">
        <f t="shared" si="8"/>
        <v>9774186</v>
      </c>
      <c r="T18" s="13">
        <f t="shared" si="8"/>
        <v>8189638</v>
      </c>
      <c r="U18" s="13">
        <f t="shared" si="8"/>
        <v>6035089</v>
      </c>
      <c r="V18" s="13">
        <f t="shared" si="8"/>
        <v>3940541</v>
      </c>
      <c r="W18" s="13">
        <f t="shared" si="8"/>
        <v>224789</v>
      </c>
      <c r="X18" s="75">
        <f t="shared" si="8"/>
        <v>112235239.36</v>
      </c>
    </row>
    <row r="19" spans="1:198" ht="13.5" customHeight="1">
      <c r="A19" s="10" t="s">
        <v>19</v>
      </c>
      <c r="B19" s="510" t="s">
        <v>20</v>
      </c>
      <c r="C19" s="510"/>
      <c r="D19" s="510"/>
      <c r="E19" s="510"/>
      <c r="F19" s="287">
        <f>F22+F138+F123</f>
        <v>6007891</v>
      </c>
      <c r="G19" s="82"/>
      <c r="H19" s="82"/>
      <c r="I19" s="82"/>
      <c r="J19" s="43" t="e">
        <f>J22+J138</f>
        <v>#REF!</v>
      </c>
      <c r="K19" s="76" t="e">
        <f t="shared" ref="K19:X19" si="9">K22+K138+K123</f>
        <v>#REF!</v>
      </c>
      <c r="L19" s="43">
        <f t="shared" si="9"/>
        <v>0</v>
      </c>
      <c r="M19" s="313">
        <f t="shared" si="9"/>
        <v>0</v>
      </c>
      <c r="N19" s="345">
        <f t="shared" si="9"/>
        <v>868357.36</v>
      </c>
      <c r="O19" s="43">
        <f t="shared" si="9"/>
        <v>762539</v>
      </c>
      <c r="P19" s="43">
        <f t="shared" si="9"/>
        <v>668230</v>
      </c>
      <c r="Q19" s="43">
        <f t="shared" si="9"/>
        <v>588682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4290739.3600000003</v>
      </c>
    </row>
    <row r="20" spans="1:198" ht="13.5" customHeight="1">
      <c r="A20" s="10" t="s">
        <v>21</v>
      </c>
      <c r="B20" s="510" t="s">
        <v>22</v>
      </c>
      <c r="C20" s="510"/>
      <c r="D20" s="510"/>
      <c r="E20" s="510"/>
      <c r="F20" s="284">
        <f>F59+F130+F169</f>
        <v>160795073.72</v>
      </c>
      <c r="G20" s="82" t="s">
        <v>11</v>
      </c>
      <c r="H20" s="82" t="s">
        <v>11</v>
      </c>
      <c r="I20" s="82" t="s">
        <v>11</v>
      </c>
      <c r="J20" s="43" t="e">
        <f>J59+J169</f>
        <v>#REF!</v>
      </c>
      <c r="K20" s="76" t="e">
        <f t="shared" ref="K20:W20" si="10">K59+K169+K130</f>
        <v>#REF!</v>
      </c>
      <c r="L20" s="43">
        <f t="shared" si="10"/>
        <v>0</v>
      </c>
      <c r="M20" s="313">
        <f t="shared" si="10"/>
        <v>0</v>
      </c>
      <c r="N20" s="346">
        <f>N59+N169+N130</f>
        <v>33145655</v>
      </c>
      <c r="O20" s="43">
        <f t="shared" si="10"/>
        <v>10396629</v>
      </c>
      <c r="P20" s="43">
        <f t="shared" si="10"/>
        <v>13205128</v>
      </c>
      <c r="Q20" s="43">
        <f t="shared" si="10"/>
        <v>11745778</v>
      </c>
      <c r="R20" s="43">
        <f t="shared" si="10"/>
        <v>12251600</v>
      </c>
      <c r="S20" s="43">
        <f t="shared" si="10"/>
        <v>9415337</v>
      </c>
      <c r="T20" s="43">
        <f t="shared" si="10"/>
        <v>7910337</v>
      </c>
      <c r="U20" s="43">
        <f t="shared" si="10"/>
        <v>5835337</v>
      </c>
      <c r="V20" s="43">
        <f t="shared" si="10"/>
        <v>3820337</v>
      </c>
      <c r="W20" s="43">
        <f t="shared" si="10"/>
        <v>218362</v>
      </c>
      <c r="X20" s="83">
        <f>X59+X130+X169</f>
        <v>107944500</v>
      </c>
    </row>
    <row r="21" spans="1:198" ht="39.75" customHeight="1">
      <c r="A21" s="11" t="s">
        <v>23</v>
      </c>
      <c r="B21" s="511" t="s">
        <v>24</v>
      </c>
      <c r="C21" s="511"/>
      <c r="D21" s="511"/>
      <c r="E21" s="511"/>
      <c r="F21" s="283">
        <f>F22+F59</f>
        <v>2256150</v>
      </c>
      <c r="G21" s="12" t="s">
        <v>11</v>
      </c>
      <c r="H21" s="12" t="s">
        <v>11</v>
      </c>
      <c r="I21" s="12" t="s">
        <v>11</v>
      </c>
      <c r="J21" s="13" t="e">
        <f t="shared" ref="J21:X21" si="11">J22+J59</f>
        <v>#REF!</v>
      </c>
      <c r="K21" s="13" t="e">
        <f t="shared" si="11"/>
        <v>#REF!</v>
      </c>
      <c r="L21" s="13">
        <f t="shared" si="11"/>
        <v>0</v>
      </c>
      <c r="M21" s="300">
        <f t="shared" si="11"/>
        <v>0</v>
      </c>
      <c r="N21" s="13">
        <f t="shared" si="11"/>
        <v>2016945</v>
      </c>
      <c r="O21" s="13">
        <f t="shared" si="11"/>
        <v>82735</v>
      </c>
      <c r="P21" s="13">
        <f t="shared" si="11"/>
        <v>70735</v>
      </c>
      <c r="Q21" s="13">
        <f t="shared" si="11"/>
        <v>70735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2241150</v>
      </c>
    </row>
    <row r="22" spans="1:198" ht="13.5" customHeight="1">
      <c r="A22" s="56" t="s">
        <v>25</v>
      </c>
      <c r="B22" s="485" t="s">
        <v>20</v>
      </c>
      <c r="C22" s="485"/>
      <c r="D22" s="485"/>
      <c r="E22" s="485"/>
      <c r="F22" s="285">
        <f>F23+F30</f>
        <v>338430</v>
      </c>
      <c r="G22" s="56"/>
      <c r="H22" s="56"/>
      <c r="I22" s="56"/>
      <c r="J22" s="57">
        <f>J29+J37+J42+J47</f>
        <v>757473</v>
      </c>
      <c r="K22" s="57">
        <f>K42+K47</f>
        <v>124300</v>
      </c>
      <c r="L22" s="57">
        <f t="shared" ref="L22:M22" si="12">L29+L42+L47+L58</f>
        <v>0</v>
      </c>
      <c r="M22" s="282">
        <f t="shared" si="12"/>
        <v>0</v>
      </c>
      <c r="N22" s="57">
        <f>N29+N37</f>
        <v>99225</v>
      </c>
      <c r="O22" s="57">
        <f t="shared" ref="O22:W22" si="13">O29+O37</f>
        <v>82735</v>
      </c>
      <c r="P22" s="57">
        <f t="shared" si="13"/>
        <v>70735</v>
      </c>
      <c r="Q22" s="57">
        <f t="shared" si="13"/>
        <v>70735</v>
      </c>
      <c r="R22" s="57">
        <f t="shared" si="13"/>
        <v>0</v>
      </c>
      <c r="S22" s="57">
        <f t="shared" si="13"/>
        <v>0</v>
      </c>
      <c r="T22" s="57">
        <f t="shared" si="13"/>
        <v>0</v>
      </c>
      <c r="U22" s="57">
        <f t="shared" si="13"/>
        <v>0</v>
      </c>
      <c r="V22" s="57">
        <f t="shared" si="13"/>
        <v>0</v>
      </c>
      <c r="W22" s="57">
        <f t="shared" si="13"/>
        <v>0</v>
      </c>
      <c r="X22" s="282">
        <f>X23+X30</f>
        <v>323430</v>
      </c>
    </row>
    <row r="23" spans="1:198" ht="15.75" customHeight="1">
      <c r="A23" s="353">
        <v>1</v>
      </c>
      <c r="B23" s="477" t="s">
        <v>250</v>
      </c>
      <c r="C23" s="357">
        <v>2024</v>
      </c>
      <c r="D23" s="357">
        <v>2026</v>
      </c>
      <c r="E23" s="481" t="s">
        <v>260</v>
      </c>
      <c r="F23" s="514">
        <f>X23+15000</f>
        <v>80000</v>
      </c>
      <c r="G23" s="501" t="s">
        <v>252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68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53"/>
      <c r="B24" s="477"/>
      <c r="C24" s="357"/>
      <c r="D24" s="357"/>
      <c r="E24" s="481"/>
      <c r="F24" s="514"/>
      <c r="G24" s="501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68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2.75" customHeight="1">
      <c r="A25" s="353"/>
      <c r="B25" s="477"/>
      <c r="C25" s="357"/>
      <c r="D25" s="357"/>
      <c r="E25" s="481"/>
      <c r="F25" s="514"/>
      <c r="G25" s="501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68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53"/>
      <c r="B26" s="477"/>
      <c r="C26" s="357"/>
      <c r="D26" s="357"/>
      <c r="E26" s="481"/>
      <c r="F26" s="514"/>
      <c r="G26" s="501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68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53"/>
      <c r="B27" s="477"/>
      <c r="C27" s="357"/>
      <c r="D27" s="357"/>
      <c r="E27" s="481"/>
      <c r="F27" s="514"/>
      <c r="G27" s="501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68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53"/>
      <c r="B28" s="477"/>
      <c r="C28" s="357"/>
      <c r="D28" s="357"/>
      <c r="E28" s="481"/>
      <c r="F28" s="514"/>
      <c r="G28" s="501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68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53"/>
      <c r="B29" s="477"/>
      <c r="C29" s="357"/>
      <c r="D29" s="357"/>
      <c r="E29" s="481"/>
      <c r="F29" s="514"/>
      <c r="G29" s="501"/>
      <c r="H29" s="90"/>
      <c r="I29" s="64" t="s">
        <v>26</v>
      </c>
      <c r="J29" s="65">
        <f t="shared" ref="J29:O29" si="14">SUM(J23:J28)</f>
        <v>73804</v>
      </c>
      <c r="K29" s="65">
        <f t="shared" si="14"/>
        <v>124300</v>
      </c>
      <c r="L29" s="65">
        <f t="shared" si="14"/>
        <v>0</v>
      </c>
      <c r="M29" s="229">
        <f t="shared" si="14"/>
        <v>0</v>
      </c>
      <c r="N29" s="65">
        <f t="shared" si="14"/>
        <v>53000</v>
      </c>
      <c r="O29" s="66">
        <f t="shared" si="14"/>
        <v>12000</v>
      </c>
      <c r="P29" s="66"/>
      <c r="Q29" s="66"/>
      <c r="R29" s="66"/>
      <c r="S29" s="66"/>
      <c r="T29" s="66"/>
      <c r="U29" s="66"/>
      <c r="V29" s="66"/>
      <c r="W29" s="66"/>
      <c r="X29" s="468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customHeight="1">
      <c r="A30" s="509">
        <v>2</v>
      </c>
      <c r="B30" s="373" t="s">
        <v>264</v>
      </c>
      <c r="C30" s="396">
        <v>2025</v>
      </c>
      <c r="D30" s="396">
        <v>2028</v>
      </c>
      <c r="E30" s="512" t="s">
        <v>263</v>
      </c>
      <c r="F30" s="503">
        <f>X30</f>
        <v>258430</v>
      </c>
      <c r="G30" s="443">
        <v>85295</v>
      </c>
      <c r="H30" s="86"/>
      <c r="I30" s="61" t="s">
        <v>31</v>
      </c>
      <c r="J30" s="106">
        <v>53876</v>
      </c>
      <c r="K30" s="106"/>
      <c r="L30" s="106"/>
      <c r="M30" s="280"/>
      <c r="N30" s="352">
        <v>4865.79</v>
      </c>
      <c r="O30" s="352">
        <v>7445.79</v>
      </c>
      <c r="P30" s="352">
        <v>7445.79</v>
      </c>
      <c r="Q30" s="352">
        <v>7445.79</v>
      </c>
      <c r="R30" s="107"/>
      <c r="S30" s="107"/>
      <c r="T30" s="107"/>
      <c r="U30" s="107"/>
      <c r="V30" s="107"/>
      <c r="W30" s="107"/>
      <c r="X30" s="581">
        <f>SUM(L37:Q37)</f>
        <v>258430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customHeight="1">
      <c r="A31" s="509"/>
      <c r="B31" s="376"/>
      <c r="C31" s="396"/>
      <c r="D31" s="396"/>
      <c r="E31" s="512"/>
      <c r="F31" s="503"/>
      <c r="G31" s="443"/>
      <c r="H31" s="86"/>
      <c r="I31" s="61" t="s">
        <v>30</v>
      </c>
      <c r="J31" s="106"/>
      <c r="K31" s="107"/>
      <c r="L31" s="107"/>
      <c r="M31" s="280"/>
      <c r="N31" s="352">
        <v>41359.21</v>
      </c>
      <c r="O31" s="352">
        <v>63289.21</v>
      </c>
      <c r="P31" s="352">
        <v>63289.21</v>
      </c>
      <c r="Q31" s="352">
        <v>63289.21</v>
      </c>
      <c r="R31" s="107"/>
      <c r="S31" s="107"/>
      <c r="T31" s="107"/>
      <c r="U31" s="107"/>
      <c r="V31" s="107"/>
      <c r="W31" s="107"/>
      <c r="X31" s="581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customHeight="1">
      <c r="A32" s="509"/>
      <c r="B32" s="376"/>
      <c r="C32" s="396"/>
      <c r="D32" s="396"/>
      <c r="E32" s="512"/>
      <c r="F32" s="503"/>
      <c r="G32" s="443"/>
      <c r="H32" s="86"/>
      <c r="I32" s="58"/>
      <c r="J32" s="107"/>
      <c r="K32" s="107"/>
      <c r="L32" s="107"/>
      <c r="M32" s="280"/>
      <c r="N32" s="351"/>
      <c r="O32" s="107"/>
      <c r="P32" s="107"/>
      <c r="Q32" s="107"/>
      <c r="R32" s="107"/>
      <c r="S32" s="107"/>
      <c r="T32" s="107"/>
      <c r="U32" s="107"/>
      <c r="V32" s="107"/>
      <c r="W32" s="107"/>
      <c r="X32" s="581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509"/>
      <c r="B33" s="376"/>
      <c r="C33" s="396"/>
      <c r="D33" s="396"/>
      <c r="E33" s="512"/>
      <c r="F33" s="503"/>
      <c r="G33" s="443"/>
      <c r="H33" s="86"/>
      <c r="I33" s="58"/>
      <c r="J33" s="107"/>
      <c r="K33" s="107"/>
      <c r="L33" s="107"/>
      <c r="M33" s="280"/>
      <c r="N33" s="351"/>
      <c r="O33" s="107"/>
      <c r="P33" s="107"/>
      <c r="Q33" s="107"/>
      <c r="R33" s="107"/>
      <c r="S33" s="107"/>
      <c r="T33" s="107"/>
      <c r="U33" s="107"/>
      <c r="V33" s="107"/>
      <c r="W33" s="107"/>
      <c r="X33" s="581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14.25" hidden="1" customHeight="1">
      <c r="A34" s="509"/>
      <c r="B34" s="376"/>
      <c r="C34" s="396"/>
      <c r="D34" s="396"/>
      <c r="E34" s="512"/>
      <c r="F34" s="503"/>
      <c r="G34" s="443"/>
      <c r="H34" s="86"/>
      <c r="I34" s="58"/>
      <c r="J34" s="107"/>
      <c r="K34" s="107"/>
      <c r="L34" s="107"/>
      <c r="M34" s="280"/>
      <c r="N34" s="351"/>
      <c r="O34" s="107"/>
      <c r="P34" s="107"/>
      <c r="Q34" s="107"/>
      <c r="R34" s="107"/>
      <c r="S34" s="107"/>
      <c r="T34" s="107"/>
      <c r="U34" s="107"/>
      <c r="V34" s="107"/>
      <c r="W34" s="107"/>
      <c r="X34" s="581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4.25" hidden="1" customHeight="1">
      <c r="A35" s="509"/>
      <c r="B35" s="376"/>
      <c r="C35" s="396"/>
      <c r="D35" s="396"/>
      <c r="E35" s="512"/>
      <c r="F35" s="503"/>
      <c r="G35" s="443"/>
      <c r="H35" s="86"/>
      <c r="I35" s="58"/>
      <c r="J35" s="107"/>
      <c r="K35" s="107"/>
      <c r="L35" s="107"/>
      <c r="M35" s="280"/>
      <c r="N35" s="351"/>
      <c r="O35" s="107"/>
      <c r="P35" s="107"/>
      <c r="Q35" s="107"/>
      <c r="R35" s="107"/>
      <c r="S35" s="107"/>
      <c r="T35" s="107"/>
      <c r="U35" s="107"/>
      <c r="V35" s="107"/>
      <c r="W35" s="107"/>
      <c r="X35" s="581"/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4.25" hidden="1" customHeight="1">
      <c r="A36" s="509"/>
      <c r="B36" s="376"/>
      <c r="C36" s="396"/>
      <c r="D36" s="396"/>
      <c r="E36" s="512"/>
      <c r="F36" s="503"/>
      <c r="G36" s="443"/>
      <c r="H36" s="86"/>
      <c r="I36" s="58"/>
      <c r="J36" s="107"/>
      <c r="K36" s="107"/>
      <c r="L36" s="107"/>
      <c r="M36" s="280"/>
      <c r="N36" s="351"/>
      <c r="O36" s="107"/>
      <c r="P36" s="107"/>
      <c r="Q36" s="107"/>
      <c r="R36" s="107"/>
      <c r="S36" s="107"/>
      <c r="T36" s="107"/>
      <c r="U36" s="107"/>
      <c r="V36" s="107"/>
      <c r="W36" s="107"/>
      <c r="X36" s="581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.75" customHeight="1">
      <c r="A37" s="509"/>
      <c r="B37" s="376"/>
      <c r="C37" s="396"/>
      <c r="D37" s="396"/>
      <c r="E37" s="512"/>
      <c r="F37" s="503"/>
      <c r="G37" s="443"/>
      <c r="H37" s="86"/>
      <c r="I37" s="59" t="s">
        <v>26</v>
      </c>
      <c r="J37" s="109">
        <f t="shared" ref="J37:W37" si="15">J30+J31+J32+J33</f>
        <v>53876</v>
      </c>
      <c r="K37" s="109">
        <f t="shared" si="15"/>
        <v>0</v>
      </c>
      <c r="L37" s="109">
        <f t="shared" si="15"/>
        <v>0</v>
      </c>
      <c r="M37" s="130">
        <f t="shared" si="15"/>
        <v>0</v>
      </c>
      <c r="N37" s="261">
        <f t="shared" si="15"/>
        <v>46225</v>
      </c>
      <c r="O37" s="261">
        <f t="shared" si="15"/>
        <v>70735</v>
      </c>
      <c r="P37" s="261">
        <f t="shared" si="15"/>
        <v>70735</v>
      </c>
      <c r="Q37" s="261">
        <f t="shared" si="15"/>
        <v>70735</v>
      </c>
      <c r="R37" s="261">
        <f t="shared" si="15"/>
        <v>0</v>
      </c>
      <c r="S37" s="261">
        <f t="shared" si="15"/>
        <v>0</v>
      </c>
      <c r="T37" s="261">
        <f t="shared" si="15"/>
        <v>0</v>
      </c>
      <c r="U37" s="261">
        <f t="shared" si="15"/>
        <v>0</v>
      </c>
      <c r="V37" s="261">
        <f t="shared" si="15"/>
        <v>0</v>
      </c>
      <c r="W37" s="261">
        <f t="shared" si="15"/>
        <v>0</v>
      </c>
      <c r="X37" s="581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05">
        <v>1</v>
      </c>
      <c r="B38" s="376" t="s">
        <v>202</v>
      </c>
      <c r="C38" s="396">
        <v>2021</v>
      </c>
      <c r="D38" s="396">
        <v>2023</v>
      </c>
      <c r="E38" s="512" t="s">
        <v>27</v>
      </c>
      <c r="F38" s="503"/>
      <c r="G38" s="443">
        <v>85395</v>
      </c>
      <c r="H38" s="90"/>
      <c r="I38" s="61" t="s">
        <v>28</v>
      </c>
      <c r="J38" s="250">
        <v>497463</v>
      </c>
      <c r="K38" s="250"/>
      <c r="L38" s="251"/>
      <c r="M38" s="28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504">
        <f>SUM(L42:P42)</f>
        <v>0</v>
      </c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5" hidden="1" customHeight="1">
      <c r="A39" s="505"/>
      <c r="B39" s="376"/>
      <c r="C39" s="396"/>
      <c r="D39" s="396"/>
      <c r="E39" s="512"/>
      <c r="F39" s="503"/>
      <c r="G39" s="443"/>
      <c r="H39" s="90"/>
      <c r="I39" s="61" t="s">
        <v>28</v>
      </c>
      <c r="J39" s="250">
        <v>58526</v>
      </c>
      <c r="K39" s="250"/>
      <c r="L39" s="87"/>
      <c r="M39" s="173"/>
      <c r="N39" s="87"/>
      <c r="O39" s="87">
        <v>0</v>
      </c>
      <c r="P39" s="251"/>
      <c r="Q39" s="251"/>
      <c r="R39" s="251"/>
      <c r="S39" s="251"/>
      <c r="T39" s="251"/>
      <c r="U39" s="251"/>
      <c r="V39" s="251"/>
      <c r="W39" s="251"/>
      <c r="X39" s="504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5" hidden="1" customHeight="1">
      <c r="A40" s="505"/>
      <c r="B40" s="376"/>
      <c r="C40" s="396"/>
      <c r="D40" s="396"/>
      <c r="E40" s="512"/>
      <c r="F40" s="503"/>
      <c r="G40" s="443"/>
      <c r="H40" s="90"/>
      <c r="I40" s="61" t="s">
        <v>30</v>
      </c>
      <c r="J40" s="250"/>
      <c r="K40" s="250"/>
      <c r="L40" s="87"/>
      <c r="M40" s="173"/>
      <c r="N40" s="87"/>
      <c r="O40" s="251"/>
      <c r="P40" s="251"/>
      <c r="Q40" s="251"/>
      <c r="R40" s="251"/>
      <c r="S40" s="251"/>
      <c r="T40" s="251"/>
      <c r="U40" s="251"/>
      <c r="V40" s="251"/>
      <c r="W40" s="251"/>
      <c r="X40" s="504"/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t="15" hidden="1" customHeight="1">
      <c r="A41" s="505"/>
      <c r="B41" s="376"/>
      <c r="C41" s="396"/>
      <c r="D41" s="396"/>
      <c r="E41" s="512"/>
      <c r="F41" s="503"/>
      <c r="G41" s="443"/>
      <c r="H41" s="90"/>
      <c r="I41" s="61" t="s">
        <v>33</v>
      </c>
      <c r="J41" s="250"/>
      <c r="K41" s="250"/>
      <c r="L41" s="252"/>
      <c r="M41" s="252"/>
      <c r="N41" s="252"/>
      <c r="O41" s="251"/>
      <c r="P41" s="251"/>
      <c r="Q41" s="251"/>
      <c r="R41" s="251"/>
      <c r="S41" s="251"/>
      <c r="T41" s="251"/>
      <c r="U41" s="251"/>
      <c r="V41" s="251"/>
      <c r="W41" s="251"/>
      <c r="X41" s="504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t="14.25" hidden="1" customHeight="1">
      <c r="A42" s="505"/>
      <c r="B42" s="376"/>
      <c r="C42" s="396"/>
      <c r="D42" s="396"/>
      <c r="E42" s="512"/>
      <c r="F42" s="503"/>
      <c r="G42" s="443"/>
      <c r="H42" s="251"/>
      <c r="I42" s="59" t="s">
        <v>26</v>
      </c>
      <c r="J42" s="253">
        <f t="shared" ref="J42:O42" si="16">SUM(J38:J41)</f>
        <v>555989</v>
      </c>
      <c r="K42" s="253">
        <f t="shared" si="16"/>
        <v>0</v>
      </c>
      <c r="L42" s="254">
        <f t="shared" si="16"/>
        <v>0</v>
      </c>
      <c r="M42" s="286">
        <f t="shared" si="16"/>
        <v>0</v>
      </c>
      <c r="N42" s="254">
        <f t="shared" si="16"/>
        <v>0</v>
      </c>
      <c r="O42" s="255">
        <f t="shared" si="16"/>
        <v>0</v>
      </c>
      <c r="P42" s="255"/>
      <c r="Q42" s="255"/>
      <c r="R42" s="255"/>
      <c r="S42" s="255"/>
      <c r="T42" s="255"/>
      <c r="U42" s="255"/>
      <c r="V42" s="255"/>
      <c r="W42" s="255"/>
      <c r="X42" s="504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t="16.5" hidden="1" customHeight="1">
      <c r="A43" s="353">
        <v>3</v>
      </c>
      <c r="B43" s="376" t="s">
        <v>203</v>
      </c>
      <c r="C43" s="396">
        <v>2021</v>
      </c>
      <c r="D43" s="396">
        <v>2022</v>
      </c>
      <c r="E43" s="512" t="s">
        <v>27</v>
      </c>
      <c r="F43" s="385">
        <f>X43</f>
        <v>0</v>
      </c>
      <c r="G43" s="501" t="s">
        <v>115</v>
      </c>
      <c r="H43" s="90"/>
      <c r="I43" s="61" t="s">
        <v>28</v>
      </c>
      <c r="J43" s="87"/>
      <c r="K43" s="87"/>
      <c r="L43" s="87"/>
      <c r="M43" s="87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468">
        <f>SUM(L47:P47)</f>
        <v>0</v>
      </c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idden="1">
      <c r="A44" s="353"/>
      <c r="B44" s="376"/>
      <c r="C44" s="396"/>
      <c r="D44" s="396"/>
      <c r="E44" s="512"/>
      <c r="F44" s="385"/>
      <c r="G44" s="501"/>
      <c r="H44" s="90"/>
      <c r="I44" s="61" t="s">
        <v>28</v>
      </c>
      <c r="J44" s="87">
        <v>11071</v>
      </c>
      <c r="K44" s="87">
        <v>18645</v>
      </c>
      <c r="L44" s="256"/>
      <c r="M44" s="256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468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idden="1">
      <c r="A45" s="353"/>
      <c r="B45" s="376"/>
      <c r="C45" s="396"/>
      <c r="D45" s="396"/>
      <c r="E45" s="512"/>
      <c r="F45" s="385"/>
      <c r="G45" s="501"/>
      <c r="H45" s="90"/>
      <c r="I45" s="61" t="s">
        <v>30</v>
      </c>
      <c r="J45" s="84">
        <v>62733</v>
      </c>
      <c r="K45" s="84">
        <v>105655</v>
      </c>
      <c r="L45" s="256"/>
      <c r="M45" s="256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468"/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idden="1">
      <c r="A46" s="353"/>
      <c r="B46" s="376"/>
      <c r="C46" s="396"/>
      <c r="D46" s="396"/>
      <c r="E46" s="512"/>
      <c r="F46" s="385"/>
      <c r="G46" s="501"/>
      <c r="H46" s="90"/>
      <c r="I46" s="61" t="s">
        <v>33</v>
      </c>
      <c r="J46" s="62"/>
      <c r="K46" s="62"/>
      <c r="L46" s="257"/>
      <c r="M46" s="257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68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4.25" hidden="1" customHeight="1">
      <c r="A47" s="353"/>
      <c r="B47" s="376"/>
      <c r="C47" s="396"/>
      <c r="D47" s="396"/>
      <c r="E47" s="512"/>
      <c r="F47" s="385"/>
      <c r="G47" s="501"/>
      <c r="H47" s="90"/>
      <c r="I47" s="64" t="s">
        <v>26</v>
      </c>
      <c r="J47" s="65">
        <f t="shared" ref="J47:O47" si="17">SUM(J43:J46)</f>
        <v>73804</v>
      </c>
      <c r="K47" s="65">
        <f t="shared" si="17"/>
        <v>124300</v>
      </c>
      <c r="L47" s="258">
        <f t="shared" si="17"/>
        <v>0</v>
      </c>
      <c r="M47" s="258">
        <f t="shared" si="17"/>
        <v>0</v>
      </c>
      <c r="N47" s="65">
        <f t="shared" si="17"/>
        <v>0</v>
      </c>
      <c r="O47" s="65">
        <f t="shared" si="17"/>
        <v>0</v>
      </c>
      <c r="P47" s="65"/>
      <c r="Q47" s="65"/>
      <c r="R47" s="65"/>
      <c r="S47" s="65"/>
      <c r="T47" s="65"/>
      <c r="U47" s="65"/>
      <c r="V47" s="65"/>
      <c r="W47" s="65"/>
      <c r="X47" s="468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18" hidden="1" customHeight="1">
      <c r="A48" s="353">
        <v>4</v>
      </c>
      <c r="B48" s="376" t="s">
        <v>124</v>
      </c>
      <c r="C48" s="433">
        <v>2021</v>
      </c>
      <c r="D48" s="433">
        <v>2024</v>
      </c>
      <c r="E48" s="470" t="s">
        <v>27</v>
      </c>
      <c r="F48" s="414">
        <f>SUM(L52:W52)</f>
        <v>0</v>
      </c>
      <c r="G48" s="513" t="s">
        <v>120</v>
      </c>
      <c r="H48" s="91">
        <v>4305</v>
      </c>
      <c r="I48" s="97" t="s">
        <v>28</v>
      </c>
      <c r="J48" s="94"/>
      <c r="K48" s="94"/>
      <c r="L48" s="94"/>
      <c r="M48" s="94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476">
        <f>SUM(L52:P52)</f>
        <v>0</v>
      </c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8" hidden="1" customHeight="1">
      <c r="A49" s="353"/>
      <c r="B49" s="376"/>
      <c r="C49" s="433"/>
      <c r="D49" s="433"/>
      <c r="E49" s="470"/>
      <c r="F49" s="414"/>
      <c r="G49" s="513"/>
      <c r="H49" s="91"/>
      <c r="I49" s="97" t="s">
        <v>31</v>
      </c>
      <c r="J49" s="94">
        <v>11071</v>
      </c>
      <c r="K49" s="94">
        <v>18645</v>
      </c>
      <c r="L49" s="110"/>
      <c r="M49" s="110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476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8" hidden="1" customHeight="1">
      <c r="A50" s="353"/>
      <c r="B50" s="376"/>
      <c r="C50" s="433"/>
      <c r="D50" s="433"/>
      <c r="E50" s="470"/>
      <c r="F50" s="414"/>
      <c r="G50" s="513"/>
      <c r="H50" s="91"/>
      <c r="I50" s="97" t="s">
        <v>30</v>
      </c>
      <c r="J50" s="100">
        <v>62733</v>
      </c>
      <c r="K50" s="100">
        <v>105655</v>
      </c>
      <c r="L50" s="110"/>
      <c r="M50" s="110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476"/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20.25" hidden="1" customHeight="1">
      <c r="A51" s="353"/>
      <c r="B51" s="376"/>
      <c r="C51" s="433"/>
      <c r="D51" s="433"/>
      <c r="E51" s="470"/>
      <c r="F51" s="414"/>
      <c r="G51" s="513"/>
      <c r="H51" s="91"/>
      <c r="I51" s="97" t="s">
        <v>33</v>
      </c>
      <c r="J51" s="98"/>
      <c r="K51" s="98"/>
      <c r="L51" s="111"/>
      <c r="M51" s="111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476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6.5" hidden="1">
      <c r="A52" s="353"/>
      <c r="B52" s="376"/>
      <c r="C52" s="433"/>
      <c r="D52" s="433"/>
      <c r="E52" s="470"/>
      <c r="F52" s="414"/>
      <c r="G52" s="513"/>
      <c r="H52" s="91"/>
      <c r="I52" s="101" t="s">
        <v>26</v>
      </c>
      <c r="J52" s="102">
        <f t="shared" ref="J52:O52" si="18">SUM(J48:J51)</f>
        <v>73804</v>
      </c>
      <c r="K52" s="102">
        <f t="shared" si="18"/>
        <v>124300</v>
      </c>
      <c r="L52" s="112">
        <f t="shared" si="18"/>
        <v>0</v>
      </c>
      <c r="M52" s="112">
        <f t="shared" si="18"/>
        <v>0</v>
      </c>
      <c r="N52" s="102">
        <f t="shared" si="18"/>
        <v>0</v>
      </c>
      <c r="O52" s="102">
        <f t="shared" si="18"/>
        <v>0</v>
      </c>
      <c r="P52" s="102"/>
      <c r="Q52" s="102"/>
      <c r="R52" s="102"/>
      <c r="S52" s="102"/>
      <c r="T52" s="102"/>
      <c r="U52" s="102"/>
      <c r="V52" s="102"/>
      <c r="W52" s="102"/>
      <c r="X52" s="476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53">
        <v>2</v>
      </c>
      <c r="B53" s="464" t="s">
        <v>204</v>
      </c>
      <c r="C53" s="357">
        <v>2021</v>
      </c>
      <c r="D53" s="357">
        <v>2023</v>
      </c>
      <c r="E53" s="481" t="s">
        <v>123</v>
      </c>
      <c r="F53" s="468"/>
      <c r="G53" s="356">
        <v>85395</v>
      </c>
      <c r="H53" s="88"/>
      <c r="I53" s="211" t="s">
        <v>28</v>
      </c>
      <c r="J53" s="173"/>
      <c r="K53" s="173"/>
      <c r="L53" s="226"/>
      <c r="M53" s="226"/>
      <c r="N53" s="226"/>
      <c r="O53" s="177"/>
      <c r="P53" s="177"/>
      <c r="Q53" s="177"/>
      <c r="R53" s="177"/>
      <c r="S53" s="177"/>
      <c r="T53" s="177"/>
      <c r="U53" s="177"/>
      <c r="V53" s="177"/>
      <c r="W53" s="177"/>
      <c r="X53" s="468">
        <f>SUM(L58:P58)</f>
        <v>0</v>
      </c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53"/>
      <c r="B54" s="464"/>
      <c r="C54" s="357"/>
      <c r="D54" s="357"/>
      <c r="E54" s="481"/>
      <c r="F54" s="468"/>
      <c r="G54" s="356"/>
      <c r="H54" s="86"/>
      <c r="I54" s="67" t="s">
        <v>28</v>
      </c>
      <c r="J54" s="87">
        <v>302484</v>
      </c>
      <c r="K54" s="173">
        <v>140503</v>
      </c>
      <c r="L54" s="173"/>
      <c r="M54" s="226"/>
      <c r="N54" s="226"/>
      <c r="O54" s="177"/>
      <c r="P54" s="177"/>
      <c r="Q54" s="177"/>
      <c r="R54" s="177"/>
      <c r="S54" s="177"/>
      <c r="T54" s="177"/>
      <c r="U54" s="177"/>
      <c r="V54" s="177"/>
      <c r="W54" s="177"/>
      <c r="X54" s="468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53"/>
      <c r="B55" s="464"/>
      <c r="C55" s="357"/>
      <c r="D55" s="357"/>
      <c r="E55" s="481"/>
      <c r="F55" s="468"/>
      <c r="G55" s="356"/>
      <c r="H55" s="86"/>
      <c r="I55" s="58" t="s">
        <v>31</v>
      </c>
      <c r="J55" s="87"/>
      <c r="K55" s="173"/>
      <c r="L55" s="173"/>
      <c r="M55" s="173"/>
      <c r="N55" s="226"/>
      <c r="O55" s="177"/>
      <c r="P55" s="177"/>
      <c r="Q55" s="177"/>
      <c r="R55" s="177"/>
      <c r="S55" s="177"/>
      <c r="T55" s="177"/>
      <c r="U55" s="177"/>
      <c r="V55" s="177"/>
      <c r="W55" s="177"/>
      <c r="X55" s="468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hidden="1" customHeight="1">
      <c r="A56" s="353"/>
      <c r="B56" s="464"/>
      <c r="C56" s="357"/>
      <c r="D56" s="357"/>
      <c r="E56" s="481"/>
      <c r="F56" s="468"/>
      <c r="G56" s="356"/>
      <c r="H56" s="86"/>
      <c r="I56" s="67" t="s">
        <v>30</v>
      </c>
      <c r="J56" s="87">
        <v>246103</v>
      </c>
      <c r="K56" s="173">
        <v>326859</v>
      </c>
      <c r="L56" s="173"/>
      <c r="M56" s="173"/>
      <c r="N56" s="173"/>
      <c r="O56" s="177"/>
      <c r="P56" s="177"/>
      <c r="Q56" s="177"/>
      <c r="R56" s="177"/>
      <c r="S56" s="177"/>
      <c r="T56" s="177"/>
      <c r="U56" s="177"/>
      <c r="V56" s="177"/>
      <c r="W56" s="177"/>
      <c r="X56" s="468"/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4.25" hidden="1" customHeight="1">
      <c r="A57" s="353"/>
      <c r="B57" s="464"/>
      <c r="C57" s="357"/>
      <c r="D57" s="357"/>
      <c r="E57" s="481"/>
      <c r="F57" s="468"/>
      <c r="G57" s="356"/>
      <c r="H57" s="89"/>
      <c r="I57" s="60" t="s">
        <v>33</v>
      </c>
      <c r="J57" s="227"/>
      <c r="K57" s="228"/>
      <c r="L57" s="226"/>
      <c r="M57" s="226"/>
      <c r="N57" s="226"/>
      <c r="O57" s="177"/>
      <c r="P57" s="177"/>
      <c r="Q57" s="177"/>
      <c r="R57" s="177"/>
      <c r="S57" s="177"/>
      <c r="T57" s="177"/>
      <c r="U57" s="177"/>
      <c r="V57" s="177"/>
      <c r="W57" s="177"/>
      <c r="X57" s="468"/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4.25" hidden="1" customHeight="1">
      <c r="A58" s="353"/>
      <c r="B58" s="464"/>
      <c r="C58" s="357"/>
      <c r="D58" s="357"/>
      <c r="E58" s="481"/>
      <c r="F58" s="468"/>
      <c r="G58" s="356"/>
      <c r="H58" s="88"/>
      <c r="I58" s="59" t="s">
        <v>26</v>
      </c>
      <c r="J58" s="65">
        <f t="shared" ref="J58:P58" si="19">SUM(J53:J57)</f>
        <v>548587</v>
      </c>
      <c r="K58" s="229">
        <f t="shared" si="19"/>
        <v>467362</v>
      </c>
      <c r="L58" s="179">
        <f t="shared" si="19"/>
        <v>0</v>
      </c>
      <c r="M58" s="179">
        <f t="shared" si="19"/>
        <v>0</v>
      </c>
      <c r="N58" s="179">
        <f t="shared" si="19"/>
        <v>0</v>
      </c>
      <c r="O58" s="179">
        <f t="shared" si="19"/>
        <v>0</v>
      </c>
      <c r="P58" s="179">
        <f t="shared" si="19"/>
        <v>0</v>
      </c>
      <c r="Q58" s="179"/>
      <c r="R58" s="179"/>
      <c r="S58" s="179"/>
      <c r="T58" s="179"/>
      <c r="U58" s="179"/>
      <c r="V58" s="179"/>
      <c r="W58" s="179"/>
      <c r="X58" s="468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4.25" customHeight="1">
      <c r="A59" s="56" t="s">
        <v>29</v>
      </c>
      <c r="B59" s="565" t="s">
        <v>22</v>
      </c>
      <c r="C59" s="566"/>
      <c r="D59" s="566"/>
      <c r="E59" s="567"/>
      <c r="F59" s="236">
        <f>F72+F87+F78+F118+F60+F66+F82</f>
        <v>1917720</v>
      </c>
      <c r="G59" s="56" t="s">
        <v>11</v>
      </c>
      <c r="H59" s="56" t="s">
        <v>11</v>
      </c>
      <c r="I59" s="56" t="s">
        <v>11</v>
      </c>
      <c r="J59" s="233" t="e">
        <f>J65+J77+J93+#REF!+J99+J105+J111+J117</f>
        <v>#REF!</v>
      </c>
      <c r="K59" s="233" t="e">
        <f>K65+K77+K93+#REF!+K117+K99</f>
        <v>#REF!</v>
      </c>
      <c r="L59" s="57">
        <f>L77+L93+L81</f>
        <v>0</v>
      </c>
      <c r="M59" s="57">
        <f>M77+M93+M81+M121+M65+M71+M86</f>
        <v>0</v>
      </c>
      <c r="N59" s="57">
        <f>N71+N86+N93</f>
        <v>1917720</v>
      </c>
      <c r="O59" s="57">
        <f t="shared" ref="O59:W59" si="20">O71+O86+O93</f>
        <v>0</v>
      </c>
      <c r="P59" s="57">
        <f t="shared" si="20"/>
        <v>0</v>
      </c>
      <c r="Q59" s="57">
        <f t="shared" si="20"/>
        <v>0</v>
      </c>
      <c r="R59" s="57">
        <f t="shared" si="20"/>
        <v>0</v>
      </c>
      <c r="S59" s="57">
        <f t="shared" si="20"/>
        <v>0</v>
      </c>
      <c r="T59" s="57">
        <f t="shared" si="20"/>
        <v>0</v>
      </c>
      <c r="U59" s="57">
        <f t="shared" si="20"/>
        <v>0</v>
      </c>
      <c r="V59" s="57">
        <f t="shared" si="20"/>
        <v>0</v>
      </c>
      <c r="W59" s="57">
        <f t="shared" si="20"/>
        <v>0</v>
      </c>
      <c r="X59" s="236">
        <f>X60+X72+X87+X78+X118+X66+X82</f>
        <v>1917720</v>
      </c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53">
        <v>1</v>
      </c>
      <c r="B60" s="477" t="s">
        <v>193</v>
      </c>
      <c r="C60" s="370">
        <v>2022</v>
      </c>
      <c r="D60" s="370">
        <v>2024</v>
      </c>
      <c r="E60" s="362" t="s">
        <v>27</v>
      </c>
      <c r="F60" s="484">
        <f>X60</f>
        <v>0</v>
      </c>
      <c r="G60" s="502" t="s">
        <v>194</v>
      </c>
      <c r="H60" s="165"/>
      <c r="I60" s="183" t="s">
        <v>28</v>
      </c>
      <c r="J60" s="184"/>
      <c r="K60" s="279"/>
      <c r="L60" s="187"/>
      <c r="M60" s="137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371">
        <f>SUM(L65:P65)</f>
        <v>0</v>
      </c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53"/>
      <c r="B61" s="477"/>
      <c r="C61" s="370"/>
      <c r="D61" s="370"/>
      <c r="E61" s="362"/>
      <c r="F61" s="484"/>
      <c r="G61" s="502"/>
      <c r="H61" s="200">
        <v>6059</v>
      </c>
      <c r="I61" s="166" t="s">
        <v>28</v>
      </c>
      <c r="J61" s="188">
        <f>202500+75000</f>
        <v>277500</v>
      </c>
      <c r="K61" s="188">
        <v>277500</v>
      </c>
      <c r="L61" s="187"/>
      <c r="M61" s="87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371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2" hidden="1" customHeight="1">
      <c r="A62" s="353"/>
      <c r="B62" s="477"/>
      <c r="C62" s="370"/>
      <c r="D62" s="370"/>
      <c r="E62" s="362"/>
      <c r="F62" s="484"/>
      <c r="G62" s="502"/>
      <c r="H62" s="200"/>
      <c r="I62" s="166" t="s">
        <v>31</v>
      </c>
      <c r="J62" s="188"/>
      <c r="K62" s="188"/>
      <c r="L62" s="187"/>
      <c r="M62" s="87"/>
      <c r="N62" s="279"/>
      <c r="O62" s="279"/>
      <c r="P62" s="279"/>
      <c r="Q62" s="279"/>
      <c r="R62" s="279"/>
      <c r="S62" s="279"/>
      <c r="T62" s="279"/>
      <c r="U62" s="279"/>
      <c r="V62" s="279"/>
      <c r="W62" s="279"/>
      <c r="X62" s="371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2" hidden="1" customHeight="1">
      <c r="A63" s="353"/>
      <c r="B63" s="477"/>
      <c r="C63" s="370"/>
      <c r="D63" s="370"/>
      <c r="E63" s="362"/>
      <c r="F63" s="484"/>
      <c r="G63" s="502"/>
      <c r="H63" s="200">
        <v>6057</v>
      </c>
      <c r="I63" s="166" t="s">
        <v>30</v>
      </c>
      <c r="J63" s="188">
        <v>756934</v>
      </c>
      <c r="K63" s="188">
        <v>756934</v>
      </c>
      <c r="L63" s="187"/>
      <c r="M63" s="87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371"/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2" hidden="1" customHeight="1">
      <c r="A64" s="353"/>
      <c r="B64" s="477"/>
      <c r="C64" s="370"/>
      <c r="D64" s="370"/>
      <c r="E64" s="362"/>
      <c r="F64" s="484"/>
      <c r="G64" s="502"/>
      <c r="H64" s="200"/>
      <c r="I64" s="166" t="s">
        <v>33</v>
      </c>
      <c r="J64" s="279"/>
      <c r="K64" s="279"/>
      <c r="L64" s="187"/>
      <c r="M64" s="98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371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5" hidden="1" customHeight="1">
      <c r="A65" s="353"/>
      <c r="B65" s="477"/>
      <c r="C65" s="370"/>
      <c r="D65" s="370"/>
      <c r="E65" s="362"/>
      <c r="F65" s="484"/>
      <c r="G65" s="502"/>
      <c r="H65" s="200"/>
      <c r="I65" s="160" t="s">
        <v>26</v>
      </c>
      <c r="J65" s="220">
        <f>SUM(J60:J64)</f>
        <v>1034434</v>
      </c>
      <c r="K65" s="192">
        <f t="shared" ref="K65:P65" si="21">SUM(K60:K64)</f>
        <v>1034434</v>
      </c>
      <c r="L65" s="162">
        <f t="shared" si="21"/>
        <v>0</v>
      </c>
      <c r="M65" s="162">
        <f t="shared" si="21"/>
        <v>0</v>
      </c>
      <c r="N65" s="192">
        <f t="shared" si="21"/>
        <v>0</v>
      </c>
      <c r="O65" s="192">
        <f t="shared" si="21"/>
        <v>0</v>
      </c>
      <c r="P65" s="192">
        <f t="shared" si="21"/>
        <v>0</v>
      </c>
      <c r="Q65" s="192"/>
      <c r="R65" s="192"/>
      <c r="S65" s="192"/>
      <c r="T65" s="192"/>
      <c r="U65" s="192"/>
      <c r="V65" s="192"/>
      <c r="W65" s="192"/>
      <c r="X65" s="371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53">
        <v>1</v>
      </c>
      <c r="B66" s="477" t="s">
        <v>245</v>
      </c>
      <c r="C66" s="370">
        <v>2024</v>
      </c>
      <c r="D66" s="370">
        <v>2025</v>
      </c>
      <c r="E66" s="362" t="s">
        <v>260</v>
      </c>
      <c r="F66" s="484">
        <f>X66</f>
        <v>499990</v>
      </c>
      <c r="G66" s="502" t="s">
        <v>120</v>
      </c>
      <c r="H66" s="165"/>
      <c r="I66" s="183" t="s">
        <v>28</v>
      </c>
      <c r="J66" s="184"/>
      <c r="K66" s="279"/>
      <c r="L66" s="187"/>
      <c r="M66" s="137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371">
        <f>SUM(L71:P71)</f>
        <v>499990</v>
      </c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53"/>
      <c r="B67" s="477"/>
      <c r="C67" s="370"/>
      <c r="D67" s="370"/>
      <c r="E67" s="362"/>
      <c r="F67" s="484"/>
      <c r="G67" s="502"/>
      <c r="H67" s="200">
        <v>6059</v>
      </c>
      <c r="I67" s="166" t="s">
        <v>28</v>
      </c>
      <c r="J67" s="188">
        <f>202500+75000</f>
        <v>277500</v>
      </c>
      <c r="K67" s="188">
        <v>277500</v>
      </c>
      <c r="L67" s="187"/>
      <c r="M67" s="87"/>
      <c r="N67" s="188">
        <v>12431</v>
      </c>
      <c r="O67" s="279"/>
      <c r="P67" s="279"/>
      <c r="Q67" s="279"/>
      <c r="R67" s="279"/>
      <c r="S67" s="279"/>
      <c r="T67" s="279"/>
      <c r="U67" s="279"/>
      <c r="V67" s="279"/>
      <c r="W67" s="279"/>
      <c r="X67" s="371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6.149999999999999" customHeight="1">
      <c r="A68" s="353"/>
      <c r="B68" s="477"/>
      <c r="C68" s="370"/>
      <c r="D68" s="370"/>
      <c r="E68" s="362"/>
      <c r="F68" s="484"/>
      <c r="G68" s="502"/>
      <c r="H68" s="200"/>
      <c r="I68" s="166" t="s">
        <v>31</v>
      </c>
      <c r="J68" s="188"/>
      <c r="K68" s="188"/>
      <c r="L68" s="187"/>
      <c r="M68" s="87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371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6.149999999999999" customHeight="1">
      <c r="A69" s="353"/>
      <c r="B69" s="477"/>
      <c r="C69" s="370"/>
      <c r="D69" s="370"/>
      <c r="E69" s="362"/>
      <c r="F69" s="484"/>
      <c r="G69" s="502"/>
      <c r="H69" s="200">
        <v>6057</v>
      </c>
      <c r="I69" s="166" t="s">
        <v>30</v>
      </c>
      <c r="J69" s="188">
        <v>756934</v>
      </c>
      <c r="K69" s="188">
        <v>756934</v>
      </c>
      <c r="L69" s="187"/>
      <c r="M69" s="87"/>
      <c r="N69" s="188">
        <v>487559</v>
      </c>
      <c r="O69" s="279"/>
      <c r="P69" s="279"/>
      <c r="Q69" s="279"/>
      <c r="R69" s="279"/>
      <c r="S69" s="279"/>
      <c r="T69" s="279"/>
      <c r="U69" s="279"/>
      <c r="V69" s="279"/>
      <c r="W69" s="279"/>
      <c r="X69" s="371"/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6.149999999999999" customHeight="1">
      <c r="A70" s="353"/>
      <c r="B70" s="477"/>
      <c r="C70" s="370"/>
      <c r="D70" s="370"/>
      <c r="E70" s="362"/>
      <c r="F70" s="484"/>
      <c r="G70" s="502"/>
      <c r="H70" s="200"/>
      <c r="I70" s="166" t="s">
        <v>33</v>
      </c>
      <c r="J70" s="279"/>
      <c r="K70" s="279"/>
      <c r="L70" s="187"/>
      <c r="M70" s="98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371"/>
      <c r="Y70" s="40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3.5" customHeight="1">
      <c r="A71" s="353"/>
      <c r="B71" s="477"/>
      <c r="C71" s="370"/>
      <c r="D71" s="370"/>
      <c r="E71" s="362"/>
      <c r="F71" s="484"/>
      <c r="G71" s="502"/>
      <c r="H71" s="200"/>
      <c r="I71" s="160" t="s">
        <v>26</v>
      </c>
      <c r="J71" s="220">
        <f>SUM(J66:J70)</f>
        <v>1034434</v>
      </c>
      <c r="K71" s="192">
        <f t="shared" ref="K71:P71" si="22">SUM(K66:K70)</f>
        <v>1034434</v>
      </c>
      <c r="L71" s="162">
        <f t="shared" si="22"/>
        <v>0</v>
      </c>
      <c r="M71" s="162">
        <f t="shared" si="22"/>
        <v>0</v>
      </c>
      <c r="N71" s="192">
        <f t="shared" si="22"/>
        <v>499990</v>
      </c>
      <c r="O71" s="192">
        <f t="shared" si="22"/>
        <v>0</v>
      </c>
      <c r="P71" s="192">
        <f t="shared" si="22"/>
        <v>0</v>
      </c>
      <c r="Q71" s="192"/>
      <c r="R71" s="192"/>
      <c r="S71" s="192"/>
      <c r="T71" s="192"/>
      <c r="U71" s="192"/>
      <c r="V71" s="192"/>
      <c r="W71" s="192"/>
      <c r="X71" s="371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53">
        <v>3</v>
      </c>
      <c r="B72" s="477" t="s">
        <v>192</v>
      </c>
      <c r="C72" s="396">
        <v>2022</v>
      </c>
      <c r="D72" s="357">
        <v>2024</v>
      </c>
      <c r="E72" s="481" t="s">
        <v>27</v>
      </c>
      <c r="F72" s="468">
        <f>X72</f>
        <v>0</v>
      </c>
      <c r="G72" s="501" t="s">
        <v>49</v>
      </c>
      <c r="H72" s="86"/>
      <c r="I72" s="58" t="s">
        <v>28</v>
      </c>
      <c r="J72" s="127"/>
      <c r="K72" s="115"/>
      <c r="L72" s="94"/>
      <c r="M72" s="87"/>
      <c r="N72" s="173"/>
      <c r="O72" s="175"/>
      <c r="P72" s="175"/>
      <c r="Q72" s="175"/>
      <c r="R72" s="175"/>
      <c r="S72" s="175"/>
      <c r="T72" s="175"/>
      <c r="U72" s="175"/>
      <c r="V72" s="175"/>
      <c r="W72" s="175"/>
      <c r="X72" s="371">
        <f>SUM(L77:W77)</f>
        <v>0</v>
      </c>
      <c r="Y72" s="40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2" hidden="1" customHeight="1">
      <c r="A73" s="353"/>
      <c r="B73" s="477"/>
      <c r="C73" s="396"/>
      <c r="D73" s="357"/>
      <c r="E73" s="481"/>
      <c r="F73" s="468"/>
      <c r="G73" s="501"/>
      <c r="H73" s="90">
        <v>6059</v>
      </c>
      <c r="I73" s="61" t="s">
        <v>28</v>
      </c>
      <c r="J73" s="127">
        <v>47759</v>
      </c>
      <c r="K73" s="115">
        <v>35055</v>
      </c>
      <c r="L73" s="94"/>
      <c r="M73" s="237"/>
      <c r="N73" s="173"/>
      <c r="O73" s="175"/>
      <c r="P73" s="175"/>
      <c r="Q73" s="175"/>
      <c r="R73" s="175"/>
      <c r="S73" s="175"/>
      <c r="T73" s="175"/>
      <c r="U73" s="175"/>
      <c r="V73" s="175"/>
      <c r="W73" s="175"/>
      <c r="X73" s="371"/>
      <c r="Y73" s="128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2" hidden="1" customHeight="1">
      <c r="A74" s="353"/>
      <c r="B74" s="477"/>
      <c r="C74" s="396"/>
      <c r="D74" s="357"/>
      <c r="E74" s="481"/>
      <c r="F74" s="468"/>
      <c r="G74" s="501"/>
      <c r="H74" s="90"/>
      <c r="I74" s="61" t="s">
        <v>31</v>
      </c>
      <c r="J74" s="122"/>
      <c r="K74" s="122"/>
      <c r="L74" s="98"/>
      <c r="M74" s="62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371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2" hidden="1" customHeight="1">
      <c r="A75" s="353"/>
      <c r="B75" s="477"/>
      <c r="C75" s="396"/>
      <c r="D75" s="357"/>
      <c r="E75" s="481"/>
      <c r="F75" s="468"/>
      <c r="G75" s="501"/>
      <c r="H75" s="90">
        <v>6057</v>
      </c>
      <c r="I75" s="61" t="s">
        <v>30</v>
      </c>
      <c r="J75" s="122">
        <v>270635</v>
      </c>
      <c r="K75" s="125">
        <v>198610</v>
      </c>
      <c r="L75" s="100"/>
      <c r="M75" s="84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371"/>
      <c r="Y75" s="129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3.5" hidden="1" customHeight="1">
      <c r="A76" s="353"/>
      <c r="B76" s="477"/>
      <c r="C76" s="396"/>
      <c r="D76" s="357"/>
      <c r="E76" s="481"/>
      <c r="F76" s="468"/>
      <c r="G76" s="501"/>
      <c r="H76" s="90"/>
      <c r="I76" s="61" t="s">
        <v>33</v>
      </c>
      <c r="J76" s="122"/>
      <c r="K76" s="122"/>
      <c r="L76" s="98"/>
      <c r="M76" s="62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371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5" hidden="1" customHeight="1">
      <c r="A77" s="353"/>
      <c r="B77" s="477"/>
      <c r="C77" s="396"/>
      <c r="D77" s="357"/>
      <c r="E77" s="481"/>
      <c r="F77" s="468"/>
      <c r="G77" s="501"/>
      <c r="H77" s="90"/>
      <c r="I77" s="64" t="s">
        <v>26</v>
      </c>
      <c r="J77" s="120">
        <f>SUM(J72:J76)</f>
        <v>318394</v>
      </c>
      <c r="K77" s="120">
        <f t="shared" ref="K77:P77" si="23">SUM(K72:K76)</f>
        <v>233665</v>
      </c>
      <c r="L77" s="102">
        <f t="shared" si="23"/>
        <v>0</v>
      </c>
      <c r="M77" s="65">
        <f>SUM(M72:M76)</f>
        <v>0</v>
      </c>
      <c r="N77" s="229">
        <f t="shared" si="23"/>
        <v>0</v>
      </c>
      <c r="O77" s="179">
        <f t="shared" si="23"/>
        <v>0</v>
      </c>
      <c r="P77" s="179">
        <f t="shared" si="23"/>
        <v>0</v>
      </c>
      <c r="Q77" s="179"/>
      <c r="R77" s="179"/>
      <c r="S77" s="179"/>
      <c r="T77" s="179"/>
      <c r="U77" s="179"/>
      <c r="V77" s="179"/>
      <c r="W77" s="179"/>
      <c r="X77" s="371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5" hidden="1" customHeight="1">
      <c r="A78" s="421">
        <v>4</v>
      </c>
      <c r="B78" s="477" t="s">
        <v>246</v>
      </c>
      <c r="C78" s="357">
        <v>2020</v>
      </c>
      <c r="D78" s="357">
        <v>2024</v>
      </c>
      <c r="E78" s="481" t="s">
        <v>27</v>
      </c>
      <c r="F78" s="468"/>
      <c r="G78" s="356">
        <v>80101</v>
      </c>
      <c r="H78" s="90">
        <v>6059</v>
      </c>
      <c r="I78" s="264" t="s">
        <v>28</v>
      </c>
      <c r="J78" s="173">
        <f>0.15*(50000+15000)</f>
        <v>9750</v>
      </c>
      <c r="K78" s="175">
        <v>16200</v>
      </c>
      <c r="L78" s="84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371">
        <f>SUM(L81:W81)</f>
        <v>0</v>
      </c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9.5" hidden="1" customHeight="1">
      <c r="A79" s="422"/>
      <c r="B79" s="477"/>
      <c r="C79" s="357"/>
      <c r="D79" s="357"/>
      <c r="E79" s="481"/>
      <c r="F79" s="468"/>
      <c r="G79" s="356"/>
      <c r="H79" s="90">
        <v>6056</v>
      </c>
      <c r="I79" s="264" t="s">
        <v>31</v>
      </c>
      <c r="J79" s="175"/>
      <c r="K79" s="175"/>
      <c r="L79" s="84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371"/>
      <c r="Y79" s="40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96"/>
      <c r="GB79" s="96"/>
      <c r="GC79" s="96"/>
      <c r="GD79" s="96"/>
      <c r="GE79" s="96"/>
      <c r="GF79" s="96"/>
      <c r="GG79" s="96"/>
      <c r="GH79" s="96"/>
      <c r="GI79" s="96"/>
      <c r="GJ79" s="96"/>
      <c r="GK79" s="96"/>
      <c r="GL79" s="96"/>
      <c r="GM79" s="96"/>
      <c r="GN79" s="96"/>
      <c r="GO79" s="96"/>
      <c r="GP79" s="96"/>
    </row>
    <row r="80" spans="1:198" ht="19.5" hidden="1" customHeight="1">
      <c r="A80" s="422"/>
      <c r="B80" s="477"/>
      <c r="C80" s="357"/>
      <c r="D80" s="357"/>
      <c r="E80" s="481"/>
      <c r="F80" s="468"/>
      <c r="G80" s="356"/>
      <c r="H80" s="86">
        <v>6057</v>
      </c>
      <c r="I80" s="231" t="s">
        <v>162</v>
      </c>
      <c r="J80" s="173">
        <v>852941</v>
      </c>
      <c r="K80" s="173">
        <v>365500</v>
      </c>
      <c r="L80" s="84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371"/>
      <c r="Y80" s="40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  <c r="CK80" s="96"/>
      <c r="CL80" s="96"/>
      <c r="CM80" s="96"/>
      <c r="CN80" s="96"/>
      <c r="CO80" s="96"/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96"/>
      <c r="EK80" s="96"/>
      <c r="EL80" s="96"/>
      <c r="EM80" s="96"/>
      <c r="EN80" s="96"/>
      <c r="EO80" s="96"/>
      <c r="EP80" s="96"/>
      <c r="EQ80" s="96"/>
      <c r="ER80" s="96"/>
      <c r="ES80" s="96"/>
      <c r="ET80" s="96"/>
      <c r="EU80" s="96"/>
      <c r="EV80" s="96"/>
      <c r="EW80" s="96"/>
      <c r="EX80" s="96"/>
      <c r="EY80" s="96"/>
      <c r="EZ80" s="96"/>
      <c r="FA80" s="96"/>
      <c r="FB80" s="96"/>
      <c r="FC80" s="96"/>
      <c r="FD80" s="96"/>
      <c r="FE80" s="96"/>
      <c r="FF80" s="96"/>
      <c r="FG80" s="96"/>
      <c r="FH80" s="96"/>
      <c r="FI80" s="96"/>
      <c r="FJ80" s="96"/>
      <c r="FK80" s="96"/>
      <c r="FL80" s="96"/>
      <c r="FM80" s="96"/>
      <c r="FN80" s="96"/>
      <c r="FO80" s="96"/>
      <c r="FP80" s="96"/>
      <c r="FQ80" s="96"/>
      <c r="FR80" s="96"/>
      <c r="FS80" s="96"/>
      <c r="FT80" s="96"/>
      <c r="FU80" s="96"/>
      <c r="FV80" s="96"/>
      <c r="FW80" s="96"/>
      <c r="FX80" s="96"/>
      <c r="FY80" s="96"/>
      <c r="FZ80" s="96"/>
      <c r="GA80" s="96"/>
      <c r="GB80" s="96"/>
      <c r="GC80" s="96"/>
      <c r="GD80" s="96"/>
      <c r="GE80" s="96"/>
      <c r="GF80" s="96"/>
      <c r="GG80" s="96"/>
      <c r="GH80" s="96"/>
      <c r="GI80" s="96"/>
      <c r="GJ80" s="96"/>
      <c r="GK80" s="96"/>
      <c r="GL80" s="96"/>
      <c r="GM80" s="96"/>
      <c r="GN80" s="96"/>
      <c r="GO80" s="96"/>
      <c r="GP80" s="96"/>
    </row>
    <row r="81" spans="1:198" ht="19.149999999999999" hidden="1" customHeight="1">
      <c r="A81" s="423"/>
      <c r="B81" s="477"/>
      <c r="C81" s="357"/>
      <c r="D81" s="357"/>
      <c r="E81" s="481"/>
      <c r="F81" s="468"/>
      <c r="G81" s="356"/>
      <c r="H81" s="90"/>
      <c r="I81" s="64" t="s">
        <v>26</v>
      </c>
      <c r="J81" s="232">
        <f t="shared" ref="J81:P81" si="24">SUM(J78:J80)</f>
        <v>862691</v>
      </c>
      <c r="K81" s="229">
        <f t="shared" si="24"/>
        <v>381700</v>
      </c>
      <c r="L81" s="66">
        <f t="shared" si="24"/>
        <v>0</v>
      </c>
      <c r="M81" s="179">
        <f t="shared" si="24"/>
        <v>0</v>
      </c>
      <c r="N81" s="179">
        <f t="shared" si="24"/>
        <v>0</v>
      </c>
      <c r="O81" s="179">
        <f t="shared" si="24"/>
        <v>0</v>
      </c>
      <c r="P81" s="179">
        <f t="shared" si="24"/>
        <v>0</v>
      </c>
      <c r="Q81" s="179"/>
      <c r="R81" s="179"/>
      <c r="S81" s="179"/>
      <c r="T81" s="179"/>
      <c r="U81" s="179"/>
      <c r="V81" s="179"/>
      <c r="W81" s="179"/>
      <c r="X81" s="371"/>
      <c r="Y81" s="40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  <c r="ES81" s="96"/>
      <c r="ET81" s="96"/>
      <c r="EU81" s="96"/>
      <c r="EV81" s="96"/>
      <c r="EW81" s="96"/>
      <c r="EX81" s="96"/>
      <c r="EY81" s="96"/>
      <c r="EZ81" s="96"/>
      <c r="FA81" s="96"/>
      <c r="FB81" s="96"/>
      <c r="FC81" s="96"/>
      <c r="FD81" s="96"/>
      <c r="FE81" s="96"/>
      <c r="FF81" s="96"/>
      <c r="FG81" s="96"/>
      <c r="FH81" s="96"/>
      <c r="FI81" s="96"/>
      <c r="FJ81" s="96"/>
      <c r="FK81" s="96"/>
      <c r="FL81" s="96"/>
      <c r="FM81" s="96"/>
      <c r="FN81" s="96"/>
      <c r="FO81" s="96"/>
      <c r="FP81" s="96"/>
      <c r="FQ81" s="96"/>
      <c r="FR81" s="96"/>
      <c r="FS81" s="96"/>
      <c r="FT81" s="96"/>
      <c r="FU81" s="96"/>
      <c r="FV81" s="96"/>
      <c r="FW81" s="96"/>
      <c r="FX81" s="96"/>
      <c r="FY81" s="96"/>
      <c r="FZ81" s="96"/>
      <c r="GA81" s="96"/>
      <c r="GB81" s="96"/>
      <c r="GC81" s="96"/>
      <c r="GD81" s="96"/>
      <c r="GE81" s="96"/>
      <c r="GF81" s="96"/>
      <c r="GG81" s="96"/>
      <c r="GH81" s="96"/>
      <c r="GI81" s="96"/>
      <c r="GJ81" s="96"/>
      <c r="GK81" s="96"/>
      <c r="GL81" s="96"/>
      <c r="GM81" s="96"/>
      <c r="GN81" s="96"/>
      <c r="GO81" s="96"/>
      <c r="GP81" s="96"/>
    </row>
    <row r="82" spans="1:198" ht="13.5" customHeight="1">
      <c r="A82" s="421">
        <v>2</v>
      </c>
      <c r="B82" s="488" t="s">
        <v>256</v>
      </c>
      <c r="C82" s="430">
        <v>2024</v>
      </c>
      <c r="D82" s="430">
        <v>2025</v>
      </c>
      <c r="E82" s="362" t="s">
        <v>260</v>
      </c>
      <c r="F82" s="491">
        <f>X82</f>
        <v>531820</v>
      </c>
      <c r="G82" s="427">
        <v>90095</v>
      </c>
      <c r="H82" s="90">
        <v>6059</v>
      </c>
      <c r="I82" s="61" t="s">
        <v>28</v>
      </c>
      <c r="J82" s="335"/>
      <c r="K82" s="335"/>
      <c r="L82" s="335"/>
      <c r="M82" s="335"/>
      <c r="N82" s="87">
        <v>50000</v>
      </c>
      <c r="O82" s="71"/>
      <c r="P82" s="71"/>
      <c r="Q82" s="71"/>
      <c r="R82" s="71"/>
      <c r="S82" s="71"/>
      <c r="T82" s="71"/>
      <c r="U82" s="71"/>
      <c r="V82" s="71"/>
      <c r="W82" s="71"/>
      <c r="X82" s="371">
        <f>N86</f>
        <v>531820</v>
      </c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422"/>
      <c r="B83" s="489"/>
      <c r="C83" s="431"/>
      <c r="D83" s="431"/>
      <c r="E83" s="362"/>
      <c r="F83" s="492"/>
      <c r="G83" s="428"/>
      <c r="H83" s="90"/>
      <c r="I83" s="61"/>
      <c r="J83" s="335"/>
      <c r="K83" s="335"/>
      <c r="L83" s="335"/>
      <c r="M83" s="335"/>
      <c r="N83" s="87"/>
      <c r="O83" s="71"/>
      <c r="P83" s="71"/>
      <c r="Q83" s="71"/>
      <c r="R83" s="71"/>
      <c r="S83" s="71"/>
      <c r="T83" s="71"/>
      <c r="U83" s="71"/>
      <c r="V83" s="71"/>
      <c r="W83" s="71"/>
      <c r="X83" s="371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3.5" customHeight="1">
      <c r="A84" s="422"/>
      <c r="B84" s="489"/>
      <c r="C84" s="431"/>
      <c r="D84" s="431"/>
      <c r="E84" s="362"/>
      <c r="F84" s="492"/>
      <c r="G84" s="428"/>
      <c r="H84" s="90">
        <v>6057</v>
      </c>
      <c r="I84" s="61" t="s">
        <v>30</v>
      </c>
      <c r="J84" s="335"/>
      <c r="K84" s="335"/>
      <c r="L84" s="335"/>
      <c r="M84" s="335"/>
      <c r="N84" s="87">
        <v>481820</v>
      </c>
      <c r="O84" s="71"/>
      <c r="P84" s="71"/>
      <c r="Q84" s="71"/>
      <c r="R84" s="71"/>
      <c r="S84" s="71"/>
      <c r="T84" s="71"/>
      <c r="U84" s="71"/>
      <c r="V84" s="71"/>
      <c r="W84" s="71"/>
      <c r="X84" s="371"/>
      <c r="Y84" s="149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96"/>
      <c r="GP84" s="96"/>
    </row>
    <row r="85" spans="1:198" ht="13.5" customHeight="1">
      <c r="A85" s="422"/>
      <c r="B85" s="489"/>
      <c r="C85" s="431"/>
      <c r="D85" s="431"/>
      <c r="E85" s="362"/>
      <c r="F85" s="492"/>
      <c r="G85" s="428"/>
      <c r="H85" s="90"/>
      <c r="I85" s="61"/>
      <c r="J85" s="335"/>
      <c r="K85" s="335"/>
      <c r="L85" s="335"/>
      <c r="M85" s="335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371"/>
      <c r="Y85" s="149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96"/>
      <c r="GP85" s="96"/>
    </row>
    <row r="86" spans="1:198" ht="13.5" customHeight="1">
      <c r="A86" s="423"/>
      <c r="B86" s="490"/>
      <c r="C86" s="432"/>
      <c r="D86" s="432"/>
      <c r="E86" s="362"/>
      <c r="F86" s="493"/>
      <c r="G86" s="429"/>
      <c r="H86" s="90"/>
      <c r="I86" s="64" t="s">
        <v>26</v>
      </c>
      <c r="J86" s="65"/>
      <c r="K86" s="65"/>
      <c r="L86" s="65"/>
      <c r="M86" s="65">
        <f>M82+M83+M84+M85</f>
        <v>0</v>
      </c>
      <c r="N86" s="65">
        <f>N82+N83+N84+N85</f>
        <v>531820</v>
      </c>
      <c r="O86" s="65"/>
      <c r="P86" s="65"/>
      <c r="Q86" s="65"/>
      <c r="R86" s="65"/>
      <c r="S86" s="65"/>
      <c r="T86" s="65"/>
      <c r="U86" s="65"/>
      <c r="V86" s="65"/>
      <c r="W86" s="65"/>
      <c r="X86" s="371"/>
      <c r="Y86" s="149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96"/>
      <c r="GP86" s="96"/>
    </row>
    <row r="87" spans="1:198" ht="15.75" customHeight="1">
      <c r="A87" s="353">
        <v>3</v>
      </c>
      <c r="B87" s="477" t="s">
        <v>250</v>
      </c>
      <c r="C87" s="357">
        <v>2024</v>
      </c>
      <c r="D87" s="357">
        <v>2025</v>
      </c>
      <c r="E87" s="478" t="s">
        <v>260</v>
      </c>
      <c r="F87" s="468">
        <f>0+X87</f>
        <v>885910</v>
      </c>
      <c r="G87" s="356">
        <v>75023</v>
      </c>
      <c r="H87" s="88"/>
      <c r="I87" s="211" t="s">
        <v>28</v>
      </c>
      <c r="J87" s="226"/>
      <c r="K87" s="173"/>
      <c r="L87" s="85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371">
        <f>SUM(L93:P93)</f>
        <v>885910</v>
      </c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53"/>
      <c r="B88" s="477"/>
      <c r="C88" s="357"/>
      <c r="D88" s="357"/>
      <c r="E88" s="478"/>
      <c r="F88" s="468"/>
      <c r="G88" s="356"/>
      <c r="H88" s="90">
        <v>6059</v>
      </c>
      <c r="I88" s="61" t="s">
        <v>28</v>
      </c>
      <c r="J88" s="173">
        <f>0.15*(50000+15000)</f>
        <v>9750</v>
      </c>
      <c r="K88" s="175">
        <v>16200</v>
      </c>
      <c r="L88" s="84"/>
      <c r="M88" s="175"/>
      <c r="N88" s="338">
        <v>106310</v>
      </c>
      <c r="O88" s="230"/>
      <c r="P88" s="230"/>
      <c r="Q88" s="230"/>
      <c r="R88" s="230"/>
      <c r="S88" s="230"/>
      <c r="T88" s="230"/>
      <c r="U88" s="230"/>
      <c r="V88" s="230"/>
      <c r="W88" s="230"/>
      <c r="X88" s="371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" customHeight="1">
      <c r="A89" s="353"/>
      <c r="B89" s="477"/>
      <c r="C89" s="357"/>
      <c r="D89" s="357"/>
      <c r="E89" s="478"/>
      <c r="F89" s="468"/>
      <c r="G89" s="356"/>
      <c r="H89" s="90">
        <v>6059</v>
      </c>
      <c r="I89" s="61" t="s">
        <v>31</v>
      </c>
      <c r="J89" s="175"/>
      <c r="K89" s="175"/>
      <c r="L89" s="84"/>
      <c r="M89" s="230"/>
      <c r="N89" s="339">
        <v>109144</v>
      </c>
      <c r="O89" s="230"/>
      <c r="P89" s="230"/>
      <c r="Q89" s="230"/>
      <c r="R89" s="230"/>
      <c r="S89" s="230"/>
      <c r="T89" s="230"/>
      <c r="U89" s="230"/>
      <c r="V89" s="230"/>
      <c r="W89" s="230"/>
      <c r="X89" s="371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" customHeight="1">
      <c r="A90" s="353"/>
      <c r="B90" s="477"/>
      <c r="C90" s="357"/>
      <c r="D90" s="357"/>
      <c r="E90" s="478"/>
      <c r="F90" s="468"/>
      <c r="G90" s="356"/>
      <c r="H90" s="90">
        <v>6057</v>
      </c>
      <c r="I90" s="61" t="s">
        <v>30</v>
      </c>
      <c r="J90" s="173">
        <v>69483</v>
      </c>
      <c r="K90" s="173">
        <v>128868</v>
      </c>
      <c r="L90" s="84"/>
      <c r="M90" s="175"/>
      <c r="N90" s="175">
        <v>670456</v>
      </c>
      <c r="O90" s="230"/>
      <c r="P90" s="230"/>
      <c r="Q90" s="230"/>
      <c r="R90" s="230"/>
      <c r="S90" s="230"/>
      <c r="T90" s="230"/>
      <c r="U90" s="230"/>
      <c r="V90" s="230"/>
      <c r="W90" s="230"/>
      <c r="X90" s="371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5" customHeight="1">
      <c r="A91" s="353"/>
      <c r="B91" s="477"/>
      <c r="C91" s="357"/>
      <c r="D91" s="357"/>
      <c r="E91" s="478"/>
      <c r="F91" s="468"/>
      <c r="G91" s="356"/>
      <c r="H91" s="89"/>
      <c r="I91" s="60" t="s">
        <v>33</v>
      </c>
      <c r="J91" s="230"/>
      <c r="K91" s="175"/>
      <c r="L91" s="84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371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5.75" customHeight="1">
      <c r="A92" s="353"/>
      <c r="B92" s="477"/>
      <c r="C92" s="357"/>
      <c r="D92" s="357"/>
      <c r="E92" s="478"/>
      <c r="F92" s="468"/>
      <c r="G92" s="356"/>
      <c r="H92" s="88"/>
      <c r="I92" s="231" t="s">
        <v>75</v>
      </c>
      <c r="J92" s="173">
        <v>852941</v>
      </c>
      <c r="K92" s="173">
        <v>365500</v>
      </c>
      <c r="L92" s="84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371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5.75" customHeight="1">
      <c r="A93" s="353"/>
      <c r="B93" s="477"/>
      <c r="C93" s="357"/>
      <c r="D93" s="357"/>
      <c r="E93" s="478"/>
      <c r="F93" s="468"/>
      <c r="G93" s="356"/>
      <c r="H93" s="89"/>
      <c r="I93" s="64" t="s">
        <v>26</v>
      </c>
      <c r="J93" s="232">
        <f>SUM(J87:J92)</f>
        <v>932174</v>
      </c>
      <c r="K93" s="229">
        <f>SUM(K87:K92)</f>
        <v>510568</v>
      </c>
      <c r="L93" s="66">
        <f>SUM(L87:L92)</f>
        <v>0</v>
      </c>
      <c r="M93" s="179">
        <f t="shared" ref="M93:P93" si="25">SUM(M87:M92)</f>
        <v>0</v>
      </c>
      <c r="N93" s="179">
        <f>SUM(N87:N92)</f>
        <v>885910</v>
      </c>
      <c r="O93" s="179">
        <f t="shared" si="25"/>
        <v>0</v>
      </c>
      <c r="P93" s="179">
        <f t="shared" si="25"/>
        <v>0</v>
      </c>
      <c r="Q93" s="179"/>
      <c r="R93" s="179"/>
      <c r="S93" s="179"/>
      <c r="T93" s="179"/>
      <c r="U93" s="179"/>
      <c r="V93" s="179"/>
      <c r="W93" s="179"/>
      <c r="X93" s="371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8.75" hidden="1" customHeight="1">
      <c r="A94" s="361">
        <v>5</v>
      </c>
      <c r="B94" s="464" t="s">
        <v>125</v>
      </c>
      <c r="C94" s="474">
        <v>2016</v>
      </c>
      <c r="D94" s="453">
        <v>2020</v>
      </c>
      <c r="E94" s="486" t="s">
        <v>27</v>
      </c>
      <c r="F94" s="487"/>
      <c r="G94" s="480">
        <v>90015</v>
      </c>
      <c r="H94" s="104"/>
      <c r="I94" s="105" t="s">
        <v>28</v>
      </c>
      <c r="J94" s="115"/>
      <c r="K94" s="115"/>
      <c r="L94" s="123"/>
      <c r="M94" s="116"/>
      <c r="N94" s="116"/>
      <c r="O94" s="123"/>
      <c r="P94" s="123"/>
      <c r="Q94" s="123"/>
      <c r="R94" s="123"/>
      <c r="S94" s="123"/>
      <c r="T94" s="123"/>
      <c r="U94" s="123"/>
      <c r="V94" s="123"/>
      <c r="W94" s="123"/>
      <c r="X94" s="372"/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8.75" hidden="1" customHeight="1">
      <c r="A95" s="361"/>
      <c r="B95" s="464"/>
      <c r="C95" s="474"/>
      <c r="D95" s="453"/>
      <c r="E95" s="486"/>
      <c r="F95" s="487"/>
      <c r="G95" s="480"/>
      <c r="H95" s="104">
        <v>6059</v>
      </c>
      <c r="I95" s="118" t="s">
        <v>28</v>
      </c>
      <c r="J95" s="94">
        <v>577801</v>
      </c>
      <c r="K95" s="115">
        <v>560363</v>
      </c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372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8.75" hidden="1" customHeight="1">
      <c r="A96" s="361"/>
      <c r="B96" s="464"/>
      <c r="C96" s="474"/>
      <c r="D96" s="453"/>
      <c r="E96" s="486"/>
      <c r="F96" s="487"/>
      <c r="G96" s="480"/>
      <c r="H96" s="104"/>
      <c r="I96" s="105" t="s">
        <v>31</v>
      </c>
      <c r="J96" s="115"/>
      <c r="K96" s="115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372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18.75" hidden="1" customHeight="1">
      <c r="A97" s="361"/>
      <c r="B97" s="464"/>
      <c r="C97" s="474"/>
      <c r="D97" s="453"/>
      <c r="E97" s="486"/>
      <c r="F97" s="487"/>
      <c r="G97" s="480"/>
      <c r="H97" s="104">
        <v>6057</v>
      </c>
      <c r="I97" s="118" t="s">
        <v>30</v>
      </c>
      <c r="J97" s="94">
        <v>2637562</v>
      </c>
      <c r="K97" s="115">
        <v>2557960</v>
      </c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372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17.25" hidden="1" customHeight="1">
      <c r="A98" s="361"/>
      <c r="B98" s="464"/>
      <c r="C98" s="474"/>
      <c r="D98" s="453"/>
      <c r="E98" s="486"/>
      <c r="F98" s="487"/>
      <c r="G98" s="480"/>
      <c r="H98" s="119"/>
      <c r="I98" s="92" t="s">
        <v>33</v>
      </c>
      <c r="J98" s="117"/>
      <c r="K98" s="127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372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17.25" hidden="1" customHeight="1">
      <c r="A99" s="361"/>
      <c r="B99" s="464"/>
      <c r="C99" s="474"/>
      <c r="D99" s="453"/>
      <c r="E99" s="486"/>
      <c r="F99" s="487"/>
      <c r="G99" s="480"/>
      <c r="H99" s="113"/>
      <c r="I99" s="108" t="s">
        <v>26</v>
      </c>
      <c r="J99" s="102">
        <f>SUM(J94:J98)</f>
        <v>3215363</v>
      </c>
      <c r="K99" s="120">
        <f t="shared" ref="K99:P99" si="26">SUM(K94:K98)</f>
        <v>3118323</v>
      </c>
      <c r="L99" s="121">
        <f t="shared" si="26"/>
        <v>0</v>
      </c>
      <c r="M99" s="121">
        <f t="shared" si="26"/>
        <v>0</v>
      </c>
      <c r="N99" s="121">
        <f t="shared" si="26"/>
        <v>0</v>
      </c>
      <c r="O99" s="121">
        <f t="shared" si="26"/>
        <v>0</v>
      </c>
      <c r="P99" s="121">
        <f t="shared" si="26"/>
        <v>0</v>
      </c>
      <c r="Q99" s="121"/>
      <c r="R99" s="121"/>
      <c r="S99" s="121"/>
      <c r="T99" s="121"/>
      <c r="U99" s="121"/>
      <c r="V99" s="121"/>
      <c r="W99" s="121"/>
      <c r="X99" s="372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361">
        <v>6</v>
      </c>
      <c r="B100" s="475" t="s">
        <v>126</v>
      </c>
      <c r="C100" s="453">
        <v>2017</v>
      </c>
      <c r="D100" s="449">
        <v>2019</v>
      </c>
      <c r="E100" s="486" t="s">
        <v>27</v>
      </c>
      <c r="F100" s="476"/>
      <c r="G100" s="480">
        <v>90095</v>
      </c>
      <c r="H100" s="104">
        <v>6050</v>
      </c>
      <c r="I100" s="105" t="s">
        <v>28</v>
      </c>
      <c r="J100" s="115"/>
      <c r="K100" s="116"/>
      <c r="L100" s="116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72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361"/>
      <c r="B101" s="475"/>
      <c r="C101" s="453"/>
      <c r="D101" s="449"/>
      <c r="E101" s="486"/>
      <c r="F101" s="476"/>
      <c r="G101" s="480"/>
      <c r="H101" s="104">
        <v>6059</v>
      </c>
      <c r="I101" s="118" t="s">
        <v>28</v>
      </c>
      <c r="J101" s="98">
        <v>99566</v>
      </c>
      <c r="K101" s="126"/>
      <c r="L101" s="126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72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4.75" hidden="1" customHeight="1">
      <c r="A102" s="361"/>
      <c r="B102" s="475"/>
      <c r="C102" s="453"/>
      <c r="D102" s="449"/>
      <c r="E102" s="486"/>
      <c r="F102" s="476"/>
      <c r="G102" s="480"/>
      <c r="H102" s="104"/>
      <c r="I102" s="105" t="s">
        <v>31</v>
      </c>
      <c r="J102" s="98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372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24.75" hidden="1" customHeight="1">
      <c r="A103" s="361"/>
      <c r="B103" s="475"/>
      <c r="C103" s="453"/>
      <c r="D103" s="449"/>
      <c r="E103" s="486"/>
      <c r="F103" s="476"/>
      <c r="G103" s="480"/>
      <c r="H103" s="104">
        <v>6057</v>
      </c>
      <c r="I103" s="118" t="s">
        <v>30</v>
      </c>
      <c r="J103" s="98">
        <v>232319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372"/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24.75" hidden="1" customHeight="1">
      <c r="A104" s="361"/>
      <c r="B104" s="475"/>
      <c r="C104" s="453"/>
      <c r="D104" s="449"/>
      <c r="E104" s="486"/>
      <c r="F104" s="476"/>
      <c r="G104" s="480"/>
      <c r="H104" s="119"/>
      <c r="I104" s="97" t="s">
        <v>70</v>
      </c>
      <c r="J104" s="98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372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22.5" hidden="1" customHeight="1">
      <c r="A105" s="361"/>
      <c r="B105" s="475"/>
      <c r="C105" s="453"/>
      <c r="D105" s="449"/>
      <c r="E105" s="486"/>
      <c r="F105" s="476"/>
      <c r="G105" s="480"/>
      <c r="H105" s="113"/>
      <c r="I105" s="108" t="s">
        <v>26</v>
      </c>
      <c r="J105" s="102">
        <f>SUM(J100:J104)</f>
        <v>331885</v>
      </c>
      <c r="K105" s="120">
        <f t="shared" ref="K105:P105" si="27">SUM(K100:K104)</f>
        <v>0</v>
      </c>
      <c r="L105" s="130">
        <f t="shared" si="27"/>
        <v>0</v>
      </c>
      <c r="M105" s="121">
        <f t="shared" si="27"/>
        <v>0</v>
      </c>
      <c r="N105" s="121">
        <f t="shared" si="27"/>
        <v>0</v>
      </c>
      <c r="O105" s="121">
        <f t="shared" si="27"/>
        <v>0</v>
      </c>
      <c r="P105" s="121">
        <f t="shared" si="27"/>
        <v>0</v>
      </c>
      <c r="Q105" s="121"/>
      <c r="R105" s="121"/>
      <c r="S105" s="121"/>
      <c r="T105" s="121"/>
      <c r="U105" s="121"/>
      <c r="V105" s="121"/>
      <c r="W105" s="121"/>
      <c r="X105" s="372"/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361">
        <v>7</v>
      </c>
      <c r="B106" s="475" t="s">
        <v>127</v>
      </c>
      <c r="C106" s="474">
        <v>2017</v>
      </c>
      <c r="D106" s="449">
        <v>2019</v>
      </c>
      <c r="E106" s="466" t="s">
        <v>27</v>
      </c>
      <c r="F106" s="476">
        <v>0</v>
      </c>
      <c r="G106" s="479">
        <v>90095</v>
      </c>
      <c r="H106" s="104">
        <v>6050</v>
      </c>
      <c r="I106" s="105" t="s">
        <v>28</v>
      </c>
      <c r="J106" s="115"/>
      <c r="K106" s="116"/>
      <c r="L106" s="116"/>
      <c r="M106" s="116"/>
      <c r="N106" s="131"/>
      <c r="O106" s="116"/>
      <c r="P106" s="117"/>
      <c r="Q106" s="117"/>
      <c r="R106" s="117"/>
      <c r="S106" s="117"/>
      <c r="T106" s="117"/>
      <c r="U106" s="117"/>
      <c r="V106" s="117"/>
      <c r="W106" s="117"/>
      <c r="X106" s="372">
        <f>SUM(J111:P111)</f>
        <v>84031</v>
      </c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361"/>
      <c r="B107" s="475"/>
      <c r="C107" s="474"/>
      <c r="D107" s="449"/>
      <c r="E107" s="466"/>
      <c r="F107" s="476"/>
      <c r="G107" s="479"/>
      <c r="H107" s="104">
        <v>6059</v>
      </c>
      <c r="I107" s="118" t="s">
        <v>28</v>
      </c>
      <c r="J107" s="122">
        <v>25209</v>
      </c>
      <c r="K107" s="123"/>
      <c r="L107" s="123"/>
      <c r="M107" s="123"/>
      <c r="N107" s="123"/>
      <c r="O107" s="123"/>
      <c r="P107" s="117"/>
      <c r="Q107" s="117"/>
      <c r="R107" s="117"/>
      <c r="S107" s="117"/>
      <c r="T107" s="117"/>
      <c r="U107" s="117"/>
      <c r="V107" s="117"/>
      <c r="W107" s="117"/>
      <c r="X107" s="372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16.5" hidden="1" customHeight="1">
      <c r="A108" s="361"/>
      <c r="B108" s="475"/>
      <c r="C108" s="474"/>
      <c r="D108" s="449"/>
      <c r="E108" s="466"/>
      <c r="F108" s="476"/>
      <c r="G108" s="479"/>
      <c r="H108" s="104"/>
      <c r="I108" s="105" t="s">
        <v>31</v>
      </c>
      <c r="J108" s="125"/>
      <c r="K108" s="126"/>
      <c r="L108" s="126"/>
      <c r="M108" s="126"/>
      <c r="N108" s="126"/>
      <c r="O108" s="126"/>
      <c r="P108" s="117"/>
      <c r="Q108" s="117"/>
      <c r="R108" s="117"/>
      <c r="S108" s="117"/>
      <c r="T108" s="117"/>
      <c r="U108" s="117"/>
      <c r="V108" s="117"/>
      <c r="W108" s="117"/>
      <c r="X108" s="372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6.5" hidden="1" customHeight="1">
      <c r="A109" s="361"/>
      <c r="B109" s="475"/>
      <c r="C109" s="474"/>
      <c r="D109" s="449"/>
      <c r="E109" s="466"/>
      <c r="F109" s="476"/>
      <c r="G109" s="479"/>
      <c r="H109" s="104">
        <v>6057</v>
      </c>
      <c r="I109" s="118" t="s">
        <v>30</v>
      </c>
      <c r="J109" s="122">
        <v>58822</v>
      </c>
      <c r="K109" s="123"/>
      <c r="L109" s="123"/>
      <c r="M109" s="123"/>
      <c r="N109" s="123"/>
      <c r="O109" s="123"/>
      <c r="P109" s="117"/>
      <c r="Q109" s="117"/>
      <c r="R109" s="117"/>
      <c r="S109" s="117"/>
      <c r="T109" s="117"/>
      <c r="U109" s="117"/>
      <c r="V109" s="117"/>
      <c r="W109" s="117"/>
      <c r="X109" s="372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16.5" hidden="1" customHeight="1">
      <c r="A110" s="361"/>
      <c r="B110" s="475"/>
      <c r="C110" s="474"/>
      <c r="D110" s="449"/>
      <c r="E110" s="466"/>
      <c r="F110" s="476"/>
      <c r="G110" s="479"/>
      <c r="H110" s="119"/>
      <c r="I110" s="92" t="s">
        <v>33</v>
      </c>
      <c r="J110" s="126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372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0.75" hidden="1" customHeight="1">
      <c r="A111" s="361"/>
      <c r="B111" s="475"/>
      <c r="C111" s="474"/>
      <c r="D111" s="449"/>
      <c r="E111" s="466"/>
      <c r="F111" s="476"/>
      <c r="G111" s="479"/>
      <c r="H111" s="113"/>
      <c r="I111" s="108" t="s">
        <v>26</v>
      </c>
      <c r="J111" s="120">
        <f>SUM(J106:J110)</f>
        <v>84031</v>
      </c>
      <c r="K111" s="120">
        <f>SUM(K106:K110)</f>
        <v>0</v>
      </c>
      <c r="L111" s="120">
        <f t="shared" ref="L111:P111" si="28">SUM(L106:L110)</f>
        <v>0</v>
      </c>
      <c r="M111" s="120">
        <f t="shared" si="28"/>
        <v>0</v>
      </c>
      <c r="N111" s="120">
        <f t="shared" si="28"/>
        <v>0</v>
      </c>
      <c r="O111" s="120">
        <f t="shared" si="28"/>
        <v>0</v>
      </c>
      <c r="P111" s="121">
        <f t="shared" si="28"/>
        <v>0</v>
      </c>
      <c r="Q111" s="121"/>
      <c r="R111" s="121"/>
      <c r="S111" s="121"/>
      <c r="T111" s="121"/>
      <c r="U111" s="121"/>
      <c r="V111" s="121"/>
      <c r="W111" s="121"/>
      <c r="X111" s="372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53">
        <v>6</v>
      </c>
      <c r="B112" s="475" t="s">
        <v>128</v>
      </c>
      <c r="C112" s="433">
        <v>2019</v>
      </c>
      <c r="D112" s="449">
        <v>2020</v>
      </c>
      <c r="E112" s="413" t="s">
        <v>27</v>
      </c>
      <c r="F112" s="476"/>
      <c r="G112" s="418">
        <v>90095</v>
      </c>
      <c r="H112" s="104"/>
      <c r="I112" s="105" t="s">
        <v>28</v>
      </c>
      <c r="J112" s="115"/>
      <c r="K112" s="115"/>
      <c r="L112" s="116"/>
      <c r="M112" s="116"/>
      <c r="N112" s="131"/>
      <c r="O112" s="116"/>
      <c r="P112" s="117"/>
      <c r="Q112" s="117"/>
      <c r="R112" s="117"/>
      <c r="S112" s="117"/>
      <c r="T112" s="117"/>
      <c r="U112" s="117"/>
      <c r="V112" s="117"/>
      <c r="W112" s="117"/>
      <c r="X112" s="372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53"/>
      <c r="B113" s="475"/>
      <c r="C113" s="433"/>
      <c r="D113" s="449"/>
      <c r="E113" s="413"/>
      <c r="F113" s="476"/>
      <c r="G113" s="418"/>
      <c r="H113" s="104">
        <v>6059</v>
      </c>
      <c r="I113" s="118" t="s">
        <v>28</v>
      </c>
      <c r="J113" s="122">
        <v>447740</v>
      </c>
      <c r="K113" s="125">
        <v>398600</v>
      </c>
      <c r="L113" s="123"/>
      <c r="M113" s="123"/>
      <c r="N113" s="123"/>
      <c r="O113" s="123"/>
      <c r="P113" s="117"/>
      <c r="Q113" s="117"/>
      <c r="R113" s="117"/>
      <c r="S113" s="117"/>
      <c r="T113" s="117"/>
      <c r="U113" s="117"/>
      <c r="V113" s="117"/>
      <c r="W113" s="117"/>
      <c r="X113" s="372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17.25" hidden="1" customHeight="1">
      <c r="A114" s="353"/>
      <c r="B114" s="475"/>
      <c r="C114" s="433"/>
      <c r="D114" s="449"/>
      <c r="E114" s="413"/>
      <c r="F114" s="476"/>
      <c r="G114" s="418"/>
      <c r="H114" s="104"/>
      <c r="I114" s="105" t="s">
        <v>31</v>
      </c>
      <c r="J114" s="125"/>
      <c r="K114" s="132"/>
      <c r="L114" s="126"/>
      <c r="M114" s="126"/>
      <c r="N114" s="126"/>
      <c r="O114" s="126"/>
      <c r="P114" s="117"/>
      <c r="Q114" s="117"/>
      <c r="R114" s="117"/>
      <c r="S114" s="117"/>
      <c r="T114" s="117"/>
      <c r="U114" s="117"/>
      <c r="V114" s="117"/>
      <c r="W114" s="117"/>
      <c r="X114" s="372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17.25" hidden="1" customHeight="1">
      <c r="A115" s="353"/>
      <c r="B115" s="475"/>
      <c r="C115" s="433"/>
      <c r="D115" s="449"/>
      <c r="E115" s="413"/>
      <c r="F115" s="476"/>
      <c r="G115" s="418"/>
      <c r="H115" s="104">
        <v>6057</v>
      </c>
      <c r="I115" s="118" t="s">
        <v>30</v>
      </c>
      <c r="J115" s="122"/>
      <c r="K115" s="125">
        <v>171509</v>
      </c>
      <c r="L115" s="123"/>
      <c r="M115" s="123"/>
      <c r="N115" s="123"/>
      <c r="O115" s="123"/>
      <c r="P115" s="117"/>
      <c r="Q115" s="117"/>
      <c r="R115" s="117"/>
      <c r="S115" s="117"/>
      <c r="T115" s="117"/>
      <c r="U115" s="117"/>
      <c r="V115" s="117"/>
      <c r="W115" s="117"/>
      <c r="X115" s="372"/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17.25" hidden="1" customHeight="1">
      <c r="A116" s="353"/>
      <c r="B116" s="475"/>
      <c r="C116" s="433"/>
      <c r="D116" s="449"/>
      <c r="E116" s="413"/>
      <c r="F116" s="476"/>
      <c r="G116" s="418"/>
      <c r="H116" s="119"/>
      <c r="I116" s="92" t="s">
        <v>33</v>
      </c>
      <c r="J116" s="125"/>
      <c r="K116" s="122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372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1" hidden="1" customHeight="1">
      <c r="A117" s="353"/>
      <c r="B117" s="475"/>
      <c r="C117" s="433"/>
      <c r="D117" s="449"/>
      <c r="E117" s="413"/>
      <c r="F117" s="476"/>
      <c r="G117" s="418"/>
      <c r="H117" s="113"/>
      <c r="I117" s="108" t="s">
        <v>26</v>
      </c>
      <c r="J117" s="120">
        <f>SUM(J112:J116)</f>
        <v>447740</v>
      </c>
      <c r="K117" s="120">
        <f>SUM(K112:K116)</f>
        <v>570109</v>
      </c>
      <c r="L117" s="120">
        <f t="shared" ref="L117:P117" si="29">SUM(L112:L116)</f>
        <v>0</v>
      </c>
      <c r="M117" s="120">
        <f t="shared" si="29"/>
        <v>0</v>
      </c>
      <c r="N117" s="120">
        <f t="shared" si="29"/>
        <v>0</v>
      </c>
      <c r="O117" s="120">
        <f t="shared" si="29"/>
        <v>0</v>
      </c>
      <c r="P117" s="121">
        <f t="shared" si="29"/>
        <v>0</v>
      </c>
      <c r="Q117" s="121"/>
      <c r="R117" s="121"/>
      <c r="S117" s="121"/>
      <c r="T117" s="121"/>
      <c r="U117" s="121"/>
      <c r="V117" s="121"/>
      <c r="W117" s="121"/>
      <c r="X117" s="372"/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28.5" hidden="1" customHeight="1">
      <c r="A118" s="421">
        <v>5</v>
      </c>
      <c r="B118" s="495" t="s">
        <v>205</v>
      </c>
      <c r="C118" s="384">
        <v>2023</v>
      </c>
      <c r="D118" s="357">
        <v>2023</v>
      </c>
      <c r="E118" s="478" t="s">
        <v>27</v>
      </c>
      <c r="F118" s="468">
        <f>X118</f>
        <v>0</v>
      </c>
      <c r="G118" s="356">
        <v>75495</v>
      </c>
      <c r="H118" s="90">
        <v>6059</v>
      </c>
      <c r="I118" s="264" t="s">
        <v>34</v>
      </c>
      <c r="J118" s="173">
        <f>0.15*(50000+15000)</f>
        <v>9750</v>
      </c>
      <c r="K118" s="175">
        <v>16200</v>
      </c>
      <c r="L118" s="84"/>
      <c r="M118" s="125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371">
        <f>SUM(L121:W121)</f>
        <v>0</v>
      </c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4.75" hidden="1" customHeight="1">
      <c r="A119" s="422"/>
      <c r="B119" s="495"/>
      <c r="C119" s="384"/>
      <c r="D119" s="357"/>
      <c r="E119" s="478"/>
      <c r="F119" s="468"/>
      <c r="G119" s="356"/>
      <c r="H119" s="90"/>
      <c r="I119" s="264" t="s">
        <v>31</v>
      </c>
      <c r="J119" s="175"/>
      <c r="K119" s="175"/>
      <c r="L119" s="84"/>
      <c r="M119" s="125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371"/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26.25" hidden="1" customHeight="1">
      <c r="A120" s="422"/>
      <c r="B120" s="495"/>
      <c r="C120" s="384"/>
      <c r="D120" s="357"/>
      <c r="E120" s="478"/>
      <c r="F120" s="468"/>
      <c r="G120" s="356"/>
      <c r="H120" s="88">
        <v>6057</v>
      </c>
      <c r="I120" s="231" t="s">
        <v>188</v>
      </c>
      <c r="J120" s="173">
        <v>852941</v>
      </c>
      <c r="K120" s="173">
        <v>365500</v>
      </c>
      <c r="L120" s="84"/>
      <c r="M120" s="125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371"/>
      <c r="Y120" s="40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8" hidden="1" customHeight="1">
      <c r="A121" s="423"/>
      <c r="B121" s="495"/>
      <c r="C121" s="384"/>
      <c r="D121" s="357"/>
      <c r="E121" s="478"/>
      <c r="F121" s="468"/>
      <c r="G121" s="356"/>
      <c r="H121" s="89"/>
      <c r="I121" s="64" t="s">
        <v>26</v>
      </c>
      <c r="J121" s="232">
        <f t="shared" ref="J121:P121" si="30">SUM(J118:J120)</f>
        <v>862691</v>
      </c>
      <c r="K121" s="229">
        <f t="shared" si="30"/>
        <v>381700</v>
      </c>
      <c r="L121" s="66">
        <f t="shared" si="30"/>
        <v>0</v>
      </c>
      <c r="M121" s="179">
        <f t="shared" si="30"/>
        <v>0</v>
      </c>
      <c r="N121" s="179">
        <f t="shared" si="30"/>
        <v>0</v>
      </c>
      <c r="O121" s="179">
        <f t="shared" si="30"/>
        <v>0</v>
      </c>
      <c r="P121" s="179">
        <f t="shared" si="30"/>
        <v>0</v>
      </c>
      <c r="Q121" s="179"/>
      <c r="R121" s="179"/>
      <c r="S121" s="179"/>
      <c r="T121" s="179"/>
      <c r="U121" s="179"/>
      <c r="V121" s="179"/>
      <c r="W121" s="179"/>
      <c r="X121" s="371"/>
      <c r="Y121" s="40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8.75" customHeight="1">
      <c r="A122" s="193" t="s">
        <v>35</v>
      </c>
      <c r="B122" s="522" t="s">
        <v>36</v>
      </c>
      <c r="C122" s="522"/>
      <c r="D122" s="522"/>
      <c r="E122" s="522"/>
      <c r="F122" s="249">
        <f>F123+F130</f>
        <v>12029502</v>
      </c>
      <c r="G122" s="195" t="s">
        <v>11</v>
      </c>
      <c r="H122" s="195" t="s">
        <v>11</v>
      </c>
      <c r="I122" s="195" t="s">
        <v>11</v>
      </c>
      <c r="J122" s="196">
        <f>J130</f>
        <v>0</v>
      </c>
      <c r="K122" s="196">
        <f>K130</f>
        <v>0</v>
      </c>
      <c r="L122" s="197">
        <f>L123+L130</f>
        <v>0</v>
      </c>
      <c r="M122" s="198">
        <f>M123+M130</f>
        <v>0</v>
      </c>
      <c r="N122" s="198">
        <f t="shared" ref="N122:W122" si="31">N123+N130</f>
        <v>1336929</v>
      </c>
      <c r="O122" s="198">
        <f t="shared" si="31"/>
        <v>1257381</v>
      </c>
      <c r="P122" s="198">
        <f t="shared" si="31"/>
        <v>1177832</v>
      </c>
      <c r="Q122" s="198">
        <f t="shared" si="31"/>
        <v>1098284</v>
      </c>
      <c r="R122" s="198">
        <f t="shared" si="31"/>
        <v>1018735</v>
      </c>
      <c r="S122" s="198">
        <f t="shared" si="31"/>
        <v>939186</v>
      </c>
      <c r="T122" s="198">
        <f t="shared" si="31"/>
        <v>859638</v>
      </c>
      <c r="U122" s="198">
        <f t="shared" si="31"/>
        <v>780089</v>
      </c>
      <c r="V122" s="198">
        <f t="shared" si="31"/>
        <v>700541</v>
      </c>
      <c r="W122" s="198">
        <f t="shared" si="31"/>
        <v>54789</v>
      </c>
      <c r="X122" s="194">
        <f>X123+X130</f>
        <v>9223404</v>
      </c>
      <c r="Y122" s="40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4.25" customHeight="1">
      <c r="A123" s="69" t="s">
        <v>37</v>
      </c>
      <c r="B123" s="548" t="s">
        <v>20</v>
      </c>
      <c r="C123" s="548"/>
      <c r="D123" s="548"/>
      <c r="E123" s="548"/>
      <c r="F123" s="247">
        <f>F124</f>
        <v>5645801</v>
      </c>
      <c r="G123" s="69" t="s">
        <v>11</v>
      </c>
      <c r="H123" s="69" t="s">
        <v>11</v>
      </c>
      <c r="I123" s="69" t="s">
        <v>11</v>
      </c>
      <c r="J123" s="171">
        <v>0</v>
      </c>
      <c r="K123" s="171">
        <f>K129</f>
        <v>0</v>
      </c>
      <c r="L123" s="171">
        <f t="shared" ref="L123:W123" si="32">L129</f>
        <v>0</v>
      </c>
      <c r="M123" s="172">
        <f t="shared" si="32"/>
        <v>0</v>
      </c>
      <c r="N123" s="172">
        <f t="shared" si="32"/>
        <v>756592</v>
      </c>
      <c r="O123" s="172">
        <f t="shared" si="32"/>
        <v>677044</v>
      </c>
      <c r="P123" s="172">
        <f t="shared" si="32"/>
        <v>597495</v>
      </c>
      <c r="Q123" s="172">
        <f t="shared" si="32"/>
        <v>517947</v>
      </c>
      <c r="R123" s="172">
        <f t="shared" si="32"/>
        <v>438398</v>
      </c>
      <c r="S123" s="172">
        <f t="shared" si="32"/>
        <v>358849</v>
      </c>
      <c r="T123" s="172">
        <f t="shared" si="32"/>
        <v>279301</v>
      </c>
      <c r="U123" s="172">
        <f t="shared" si="32"/>
        <v>199752</v>
      </c>
      <c r="V123" s="172">
        <f t="shared" si="32"/>
        <v>120204</v>
      </c>
      <c r="W123" s="172">
        <f t="shared" si="32"/>
        <v>6427</v>
      </c>
      <c r="X123" s="468">
        <f>SUM(L129:W129)</f>
        <v>3952009</v>
      </c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7.25" hidden="1" customHeight="1">
      <c r="A124" s="353">
        <v>1</v>
      </c>
      <c r="B124" s="483" t="s">
        <v>63</v>
      </c>
      <c r="C124" s="396">
        <v>2020</v>
      </c>
      <c r="D124" s="357">
        <v>2034</v>
      </c>
      <c r="E124" s="481" t="s">
        <v>260</v>
      </c>
      <c r="F124" s="468">
        <f>836651+X123+857141</f>
        <v>5645801</v>
      </c>
      <c r="G124" s="435">
        <v>90015</v>
      </c>
      <c r="H124" s="86"/>
      <c r="I124" s="58" t="s">
        <v>28</v>
      </c>
      <c r="J124" s="173"/>
      <c r="K124" s="173"/>
      <c r="L124" s="174"/>
      <c r="M124" s="77"/>
      <c r="N124" s="77"/>
      <c r="O124" s="63"/>
      <c r="P124" s="63"/>
      <c r="Q124" s="63"/>
      <c r="R124" s="62"/>
      <c r="S124" s="62"/>
      <c r="T124" s="62"/>
      <c r="U124" s="62"/>
      <c r="V124" s="62"/>
      <c r="W124" s="62"/>
      <c r="X124" s="468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53"/>
      <c r="B125" s="483"/>
      <c r="C125" s="396"/>
      <c r="D125" s="357"/>
      <c r="E125" s="481"/>
      <c r="F125" s="468"/>
      <c r="G125" s="435"/>
      <c r="H125" s="86"/>
      <c r="I125" s="58" t="s">
        <v>28</v>
      </c>
      <c r="J125" s="87">
        <v>577801</v>
      </c>
      <c r="K125" s="173">
        <v>0</v>
      </c>
      <c r="L125" s="175"/>
      <c r="M125" s="84"/>
      <c r="N125" s="84">
        <v>756592</v>
      </c>
      <c r="O125" s="84">
        <v>677044</v>
      </c>
      <c r="P125" s="84">
        <v>597495</v>
      </c>
      <c r="Q125" s="84">
        <v>517947</v>
      </c>
      <c r="R125" s="84">
        <v>438398</v>
      </c>
      <c r="S125" s="84">
        <v>358849</v>
      </c>
      <c r="T125" s="84">
        <v>279301</v>
      </c>
      <c r="U125" s="84">
        <v>199752</v>
      </c>
      <c r="V125" s="84">
        <v>120204</v>
      </c>
      <c r="W125" s="84">
        <v>6427</v>
      </c>
      <c r="X125" s="468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2" customHeight="1">
      <c r="A126" s="353"/>
      <c r="B126" s="483"/>
      <c r="C126" s="396"/>
      <c r="D126" s="357"/>
      <c r="E126" s="481"/>
      <c r="F126" s="468"/>
      <c r="G126" s="435"/>
      <c r="H126" s="86"/>
      <c r="I126" s="58" t="s">
        <v>31</v>
      </c>
      <c r="J126" s="173"/>
      <c r="K126" s="173"/>
      <c r="L126" s="176"/>
      <c r="M126" s="62"/>
      <c r="N126" s="62"/>
      <c r="O126" s="62"/>
      <c r="P126" s="62"/>
      <c r="Q126" s="62"/>
      <c r="R126" s="63"/>
      <c r="S126" s="62"/>
      <c r="T126" s="62"/>
      <c r="U126" s="62"/>
      <c r="V126" s="62"/>
      <c r="W126" s="62"/>
      <c r="X126" s="468"/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2" customHeight="1">
      <c r="A127" s="353"/>
      <c r="B127" s="483"/>
      <c r="C127" s="396"/>
      <c r="D127" s="357"/>
      <c r="E127" s="481"/>
      <c r="F127" s="468"/>
      <c r="G127" s="435"/>
      <c r="H127" s="86"/>
      <c r="I127" s="58" t="s">
        <v>30</v>
      </c>
      <c r="J127" s="87">
        <v>2637562</v>
      </c>
      <c r="K127" s="173"/>
      <c r="L127" s="176"/>
      <c r="M127" s="62"/>
      <c r="N127" s="62"/>
      <c r="O127" s="62"/>
      <c r="P127" s="62"/>
      <c r="Q127" s="62"/>
      <c r="R127" s="63"/>
      <c r="S127" s="62"/>
      <c r="T127" s="62"/>
      <c r="U127" s="62"/>
      <c r="V127" s="62"/>
      <c r="W127" s="62"/>
      <c r="X127" s="468"/>
      <c r="Y127" s="133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12" customHeight="1">
      <c r="A128" s="353"/>
      <c r="B128" s="483"/>
      <c r="C128" s="396"/>
      <c r="D128" s="357"/>
      <c r="E128" s="481"/>
      <c r="F128" s="468"/>
      <c r="G128" s="435"/>
      <c r="H128" s="89"/>
      <c r="I128" s="60" t="s">
        <v>33</v>
      </c>
      <c r="J128" s="177"/>
      <c r="K128" s="178"/>
      <c r="L128" s="174"/>
      <c r="M128" s="62"/>
      <c r="N128" s="63"/>
      <c r="O128" s="63"/>
      <c r="P128" s="63"/>
      <c r="Q128" s="63"/>
      <c r="R128" s="63"/>
      <c r="S128" s="62"/>
      <c r="T128" s="62"/>
      <c r="U128" s="62"/>
      <c r="V128" s="62"/>
      <c r="W128" s="62"/>
      <c r="X128" s="468"/>
      <c r="Y128" s="133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3.5" customHeight="1">
      <c r="A129" s="353"/>
      <c r="B129" s="483"/>
      <c r="C129" s="396"/>
      <c r="D129" s="357"/>
      <c r="E129" s="481"/>
      <c r="F129" s="468"/>
      <c r="G129" s="435"/>
      <c r="H129" s="88"/>
      <c r="I129" s="59" t="s">
        <v>26</v>
      </c>
      <c r="J129" s="65">
        <f>SUM(J124:J128)</f>
        <v>3215363</v>
      </c>
      <c r="K129" s="65">
        <f t="shared" ref="K129:X129" si="33">SUM(K124:K128)</f>
        <v>0</v>
      </c>
      <c r="L129" s="179">
        <f t="shared" si="33"/>
        <v>0</v>
      </c>
      <c r="M129" s="66">
        <f t="shared" si="33"/>
        <v>0</v>
      </c>
      <c r="N129" s="66">
        <f t="shared" si="33"/>
        <v>756592</v>
      </c>
      <c r="O129" s="66">
        <f t="shared" si="33"/>
        <v>677044</v>
      </c>
      <c r="P129" s="66">
        <f t="shared" si="33"/>
        <v>597495</v>
      </c>
      <c r="Q129" s="66">
        <f t="shared" si="33"/>
        <v>517947</v>
      </c>
      <c r="R129" s="66">
        <f t="shared" si="33"/>
        <v>438398</v>
      </c>
      <c r="S129" s="66">
        <f t="shared" si="33"/>
        <v>358849</v>
      </c>
      <c r="T129" s="66">
        <f t="shared" si="33"/>
        <v>279301</v>
      </c>
      <c r="U129" s="66">
        <f t="shared" si="33"/>
        <v>199752</v>
      </c>
      <c r="V129" s="66">
        <f t="shared" si="33"/>
        <v>120204</v>
      </c>
      <c r="W129" s="66">
        <f t="shared" si="33"/>
        <v>6427</v>
      </c>
      <c r="X129" s="84">
        <f t="shared" si="33"/>
        <v>0</v>
      </c>
      <c r="Y129" s="133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17.25" customHeight="1">
      <c r="A130" s="180" t="s">
        <v>38</v>
      </c>
      <c r="B130" s="523" t="s">
        <v>22</v>
      </c>
      <c r="C130" s="523"/>
      <c r="D130" s="523"/>
      <c r="E130" s="523"/>
      <c r="F130" s="248">
        <f>F131</f>
        <v>6383701</v>
      </c>
      <c r="G130" s="180" t="s">
        <v>11</v>
      </c>
      <c r="H130" s="180" t="s">
        <v>11</v>
      </c>
      <c r="I130" s="180" t="s">
        <v>11</v>
      </c>
      <c r="J130" s="181">
        <v>0</v>
      </c>
      <c r="K130" s="181">
        <f>K136</f>
        <v>0</v>
      </c>
      <c r="L130" s="181">
        <f t="shared" ref="L130:W130" si="34">L136</f>
        <v>0</v>
      </c>
      <c r="M130" s="182">
        <f>M136</f>
        <v>0</v>
      </c>
      <c r="N130" s="182">
        <f t="shared" si="34"/>
        <v>580337</v>
      </c>
      <c r="O130" s="182">
        <f t="shared" si="34"/>
        <v>580337</v>
      </c>
      <c r="P130" s="182">
        <f t="shared" si="34"/>
        <v>580337</v>
      </c>
      <c r="Q130" s="182">
        <f t="shared" si="34"/>
        <v>580337</v>
      </c>
      <c r="R130" s="182">
        <f t="shared" si="34"/>
        <v>580337</v>
      </c>
      <c r="S130" s="182">
        <f t="shared" si="34"/>
        <v>580337</v>
      </c>
      <c r="T130" s="182">
        <f t="shared" si="34"/>
        <v>580337</v>
      </c>
      <c r="U130" s="182">
        <f t="shared" si="34"/>
        <v>580337</v>
      </c>
      <c r="V130" s="182">
        <f t="shared" si="34"/>
        <v>580337</v>
      </c>
      <c r="W130" s="182">
        <f t="shared" si="34"/>
        <v>48362</v>
      </c>
      <c r="X130" s="484">
        <f>SUM(L136:W136)</f>
        <v>5271395</v>
      </c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6.75" hidden="1" customHeight="1">
      <c r="A131" s="482">
        <v>1</v>
      </c>
      <c r="B131" s="483" t="s">
        <v>63</v>
      </c>
      <c r="C131" s="455">
        <v>2020</v>
      </c>
      <c r="D131" s="370">
        <v>2034</v>
      </c>
      <c r="E131" s="362" t="s">
        <v>260</v>
      </c>
      <c r="F131" s="484">
        <f>531969+X130+580337</f>
        <v>6383701</v>
      </c>
      <c r="G131" s="381">
        <v>90015</v>
      </c>
      <c r="H131" s="165"/>
      <c r="I131" s="183" t="s">
        <v>28</v>
      </c>
      <c r="J131" s="184"/>
      <c r="K131" s="184"/>
      <c r="L131" s="185"/>
      <c r="M131" s="157"/>
      <c r="N131" s="157"/>
      <c r="O131" s="186"/>
      <c r="P131" s="186"/>
      <c r="Q131" s="186"/>
      <c r="R131" s="187"/>
      <c r="S131" s="187"/>
      <c r="T131" s="187"/>
      <c r="U131" s="187"/>
      <c r="V131" s="187"/>
      <c r="W131" s="187"/>
      <c r="X131" s="484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482"/>
      <c r="B132" s="483"/>
      <c r="C132" s="455"/>
      <c r="D132" s="370"/>
      <c r="E132" s="362"/>
      <c r="F132" s="484"/>
      <c r="G132" s="381"/>
      <c r="H132" s="165">
        <v>6050</v>
      </c>
      <c r="I132" s="183" t="s">
        <v>28</v>
      </c>
      <c r="J132" s="164">
        <v>577801</v>
      </c>
      <c r="K132" s="184">
        <v>0</v>
      </c>
      <c r="L132" s="188"/>
      <c r="M132" s="156"/>
      <c r="N132" s="156">
        <v>580337</v>
      </c>
      <c r="O132" s="156">
        <v>580337</v>
      </c>
      <c r="P132" s="156">
        <v>580337</v>
      </c>
      <c r="Q132" s="156">
        <v>580337</v>
      </c>
      <c r="R132" s="156">
        <v>580337</v>
      </c>
      <c r="S132" s="156">
        <v>580337</v>
      </c>
      <c r="T132" s="156">
        <v>580337</v>
      </c>
      <c r="U132" s="156">
        <v>580337</v>
      </c>
      <c r="V132" s="156">
        <v>580337</v>
      </c>
      <c r="W132" s="156">
        <v>48362</v>
      </c>
      <c r="X132" s="484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2" customHeight="1">
      <c r="A133" s="482"/>
      <c r="B133" s="483"/>
      <c r="C133" s="455"/>
      <c r="D133" s="370"/>
      <c r="E133" s="362"/>
      <c r="F133" s="484"/>
      <c r="G133" s="381"/>
      <c r="H133" s="165"/>
      <c r="I133" s="183" t="s">
        <v>31</v>
      </c>
      <c r="J133" s="184"/>
      <c r="K133" s="184"/>
      <c r="L133" s="185"/>
      <c r="M133" s="187"/>
      <c r="N133" s="186"/>
      <c r="O133" s="186"/>
      <c r="P133" s="186"/>
      <c r="Q133" s="186"/>
      <c r="R133" s="187"/>
      <c r="S133" s="187"/>
      <c r="T133" s="187"/>
      <c r="U133" s="187"/>
      <c r="V133" s="187"/>
      <c r="W133" s="187"/>
      <c r="X133" s="484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2" customHeight="1">
      <c r="A134" s="482"/>
      <c r="B134" s="483"/>
      <c r="C134" s="455"/>
      <c r="D134" s="370"/>
      <c r="E134" s="362"/>
      <c r="F134" s="484"/>
      <c r="G134" s="381"/>
      <c r="H134" s="165"/>
      <c r="I134" s="183" t="s">
        <v>30</v>
      </c>
      <c r="J134" s="164">
        <v>2637562</v>
      </c>
      <c r="K134" s="184"/>
      <c r="L134" s="185"/>
      <c r="M134" s="187"/>
      <c r="N134" s="186"/>
      <c r="O134" s="186"/>
      <c r="P134" s="186"/>
      <c r="Q134" s="186"/>
      <c r="R134" s="186"/>
      <c r="S134" s="187"/>
      <c r="T134" s="187"/>
      <c r="U134" s="187"/>
      <c r="V134" s="187"/>
      <c r="W134" s="187"/>
      <c r="X134" s="484"/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2" customHeight="1">
      <c r="A135" s="482"/>
      <c r="B135" s="483"/>
      <c r="C135" s="455"/>
      <c r="D135" s="370"/>
      <c r="E135" s="362"/>
      <c r="F135" s="484"/>
      <c r="G135" s="381"/>
      <c r="H135" s="170"/>
      <c r="I135" s="155" t="s">
        <v>33</v>
      </c>
      <c r="J135" s="189"/>
      <c r="K135" s="190"/>
      <c r="L135" s="185"/>
      <c r="M135" s="187"/>
      <c r="N135" s="186"/>
      <c r="O135" s="186"/>
      <c r="P135" s="186"/>
      <c r="Q135" s="186"/>
      <c r="R135" s="186"/>
      <c r="S135" s="187"/>
      <c r="T135" s="187"/>
      <c r="U135" s="187"/>
      <c r="V135" s="187"/>
      <c r="W135" s="187"/>
      <c r="X135" s="484"/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7.45" customHeight="1">
      <c r="A136" s="482"/>
      <c r="B136" s="483"/>
      <c r="C136" s="455"/>
      <c r="D136" s="370"/>
      <c r="E136" s="362"/>
      <c r="F136" s="484"/>
      <c r="G136" s="381"/>
      <c r="H136" s="154"/>
      <c r="I136" s="191" t="s">
        <v>26</v>
      </c>
      <c r="J136" s="161">
        <f>SUM(J131:J135)</f>
        <v>3215363</v>
      </c>
      <c r="K136" s="161">
        <f t="shared" ref="K136:L136" si="35">SUM(K131:K135)</f>
        <v>0</v>
      </c>
      <c r="L136" s="192">
        <f t="shared" si="35"/>
        <v>0</v>
      </c>
      <c r="M136" s="162">
        <f>M132</f>
        <v>0</v>
      </c>
      <c r="N136" s="162">
        <f t="shared" ref="N136:W136" si="36">N132</f>
        <v>580337</v>
      </c>
      <c r="O136" s="162">
        <f t="shared" si="36"/>
        <v>580337</v>
      </c>
      <c r="P136" s="162">
        <f t="shared" si="36"/>
        <v>580337</v>
      </c>
      <c r="Q136" s="162">
        <f t="shared" si="36"/>
        <v>580337</v>
      </c>
      <c r="R136" s="162">
        <f t="shared" si="36"/>
        <v>580337</v>
      </c>
      <c r="S136" s="162">
        <f t="shared" si="36"/>
        <v>580337</v>
      </c>
      <c r="T136" s="162">
        <f t="shared" si="36"/>
        <v>580337</v>
      </c>
      <c r="U136" s="162">
        <f t="shared" si="36"/>
        <v>580337</v>
      </c>
      <c r="V136" s="162">
        <f t="shared" si="36"/>
        <v>580337</v>
      </c>
      <c r="W136" s="162">
        <f t="shared" si="36"/>
        <v>48362</v>
      </c>
      <c r="X136" s="484"/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19.5" customHeight="1">
      <c r="A137" s="68" t="s">
        <v>39</v>
      </c>
      <c r="B137" s="524" t="s">
        <v>68</v>
      </c>
      <c r="C137" s="524"/>
      <c r="D137" s="524"/>
      <c r="E137" s="524"/>
      <c r="F137" s="234">
        <f>F138+F169</f>
        <v>152517312.72</v>
      </c>
      <c r="G137" s="235" t="s">
        <v>11</v>
      </c>
      <c r="H137" s="235" t="s">
        <v>11</v>
      </c>
      <c r="I137" s="235" t="s">
        <v>11</v>
      </c>
      <c r="J137" s="234" t="e">
        <f t="shared" ref="J137:T137" si="37">J138+J169</f>
        <v>#REF!</v>
      </c>
      <c r="K137" s="234" t="e">
        <f t="shared" si="37"/>
        <v>#REF!</v>
      </c>
      <c r="L137" s="234">
        <f>L138+L169</f>
        <v>0</v>
      </c>
      <c r="M137" s="234">
        <f t="shared" si="37"/>
        <v>0</v>
      </c>
      <c r="N137" s="344">
        <f t="shared" si="37"/>
        <v>30660138.359999999</v>
      </c>
      <c r="O137" s="234">
        <f t="shared" si="37"/>
        <v>9819052</v>
      </c>
      <c r="P137" s="234">
        <f t="shared" si="37"/>
        <v>12624791</v>
      </c>
      <c r="Q137" s="234">
        <f t="shared" si="37"/>
        <v>11165441</v>
      </c>
      <c r="R137" s="234">
        <f t="shared" si="37"/>
        <v>11671263</v>
      </c>
      <c r="S137" s="234">
        <f t="shared" si="37"/>
        <v>8835000</v>
      </c>
      <c r="T137" s="234">
        <f t="shared" si="37"/>
        <v>7330000</v>
      </c>
      <c r="U137" s="234">
        <f>U138+U169</f>
        <v>5255000</v>
      </c>
      <c r="V137" s="234">
        <f>V138+V169</f>
        <v>3240000</v>
      </c>
      <c r="W137" s="234">
        <f>W138+W169</f>
        <v>170000</v>
      </c>
      <c r="X137" s="234">
        <f>X138+X169</f>
        <v>100770685.36</v>
      </c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7.25" customHeight="1">
      <c r="A138" s="56" t="s">
        <v>40</v>
      </c>
      <c r="B138" s="485" t="s">
        <v>20</v>
      </c>
      <c r="C138" s="485"/>
      <c r="D138" s="485"/>
      <c r="E138" s="485"/>
      <c r="F138" s="57">
        <f>SUM(F139:F163)</f>
        <v>23660</v>
      </c>
      <c r="G138" s="56" t="s">
        <v>11</v>
      </c>
      <c r="H138" s="56" t="s">
        <v>11</v>
      </c>
      <c r="I138" s="56" t="s">
        <v>11</v>
      </c>
      <c r="J138" s="227" t="e">
        <f>J148+J158+J163+#REF!</f>
        <v>#REF!</v>
      </c>
      <c r="K138" s="236" t="e">
        <f>K148+K163+#REF!</f>
        <v>#REF!</v>
      </c>
      <c r="L138" s="236">
        <f t="shared" ref="L138:W138" si="38">L143</f>
        <v>0</v>
      </c>
      <c r="M138" s="236">
        <f>M143+M163</f>
        <v>0</v>
      </c>
      <c r="N138" s="343">
        <f t="shared" ref="N138:O138" si="39">N143+N163</f>
        <v>12540.36</v>
      </c>
      <c r="O138" s="236">
        <f t="shared" si="39"/>
        <v>2760</v>
      </c>
      <c r="P138" s="236">
        <f t="shared" si="38"/>
        <v>0</v>
      </c>
      <c r="Q138" s="236">
        <f t="shared" si="38"/>
        <v>0</v>
      </c>
      <c r="R138" s="236">
        <f t="shared" si="38"/>
        <v>0</v>
      </c>
      <c r="S138" s="236">
        <f t="shared" si="38"/>
        <v>0</v>
      </c>
      <c r="T138" s="236">
        <f t="shared" si="38"/>
        <v>0</v>
      </c>
      <c r="U138" s="236">
        <f t="shared" si="38"/>
        <v>0</v>
      </c>
      <c r="V138" s="236">
        <f t="shared" si="38"/>
        <v>0</v>
      </c>
      <c r="W138" s="236">
        <f t="shared" si="38"/>
        <v>0</v>
      </c>
      <c r="X138" s="236">
        <f>X139+X159</f>
        <v>15300.36</v>
      </c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11.25" customHeight="1">
      <c r="A139" s="353">
        <v>1</v>
      </c>
      <c r="B139" s="494" t="s">
        <v>254</v>
      </c>
      <c r="C139" s="357">
        <v>2024</v>
      </c>
      <c r="D139" s="357">
        <v>2025</v>
      </c>
      <c r="E139" s="481" t="s">
        <v>181</v>
      </c>
      <c r="F139" s="468">
        <f>X139+4909.64</f>
        <v>14000</v>
      </c>
      <c r="G139" s="356">
        <v>80195</v>
      </c>
      <c r="H139" s="88"/>
      <c r="I139" s="211" t="s">
        <v>28</v>
      </c>
      <c r="J139" s="173"/>
      <c r="K139" s="173"/>
      <c r="L139" s="226"/>
      <c r="M139" s="226"/>
      <c r="N139" s="226"/>
      <c r="O139" s="177"/>
      <c r="P139" s="177"/>
      <c r="Q139" s="177"/>
      <c r="R139" s="177"/>
      <c r="S139" s="177"/>
      <c r="T139" s="177"/>
      <c r="U139" s="177"/>
      <c r="V139" s="177"/>
      <c r="W139" s="177"/>
      <c r="X139" s="468">
        <f>SUM(L143:P143)</f>
        <v>9090.36</v>
      </c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9" customHeight="1">
      <c r="A140" s="353"/>
      <c r="B140" s="483"/>
      <c r="C140" s="357"/>
      <c r="D140" s="357"/>
      <c r="E140" s="481"/>
      <c r="F140" s="468"/>
      <c r="G140" s="356"/>
      <c r="H140" s="86"/>
      <c r="I140" s="58" t="s">
        <v>31</v>
      </c>
      <c r="J140" s="87"/>
      <c r="K140" s="173"/>
      <c r="L140" s="173"/>
      <c r="M140" s="173"/>
      <c r="N140" s="226"/>
      <c r="O140" s="177"/>
      <c r="P140" s="177"/>
      <c r="Q140" s="177"/>
      <c r="R140" s="177"/>
      <c r="S140" s="177"/>
      <c r="T140" s="177"/>
      <c r="U140" s="177"/>
      <c r="V140" s="177"/>
      <c r="W140" s="177"/>
      <c r="X140" s="468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1.25" customHeight="1">
      <c r="A141" s="353"/>
      <c r="B141" s="483"/>
      <c r="C141" s="357"/>
      <c r="D141" s="357"/>
      <c r="E141" s="481"/>
      <c r="F141" s="468"/>
      <c r="G141" s="356"/>
      <c r="H141" s="86"/>
      <c r="I141" s="67" t="s">
        <v>30</v>
      </c>
      <c r="J141" s="87">
        <v>246103</v>
      </c>
      <c r="K141" s="173">
        <v>326859</v>
      </c>
      <c r="L141" s="173"/>
      <c r="M141" s="173"/>
      <c r="N141" s="173"/>
      <c r="O141" s="177"/>
      <c r="P141" s="177"/>
      <c r="Q141" s="177"/>
      <c r="R141" s="177"/>
      <c r="S141" s="177"/>
      <c r="T141" s="177"/>
      <c r="U141" s="177"/>
      <c r="V141" s="177"/>
      <c r="W141" s="177"/>
      <c r="X141" s="468"/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1.25" customHeight="1">
      <c r="A142" s="353"/>
      <c r="B142" s="483"/>
      <c r="C142" s="357"/>
      <c r="D142" s="357"/>
      <c r="E142" s="481"/>
      <c r="F142" s="468"/>
      <c r="G142" s="356"/>
      <c r="H142" s="89"/>
      <c r="I142" s="60" t="s">
        <v>33</v>
      </c>
      <c r="J142" s="227"/>
      <c r="K142" s="228"/>
      <c r="L142" s="173"/>
      <c r="M142" s="173"/>
      <c r="N142" s="173">
        <v>9090.36</v>
      </c>
      <c r="O142" s="177"/>
      <c r="P142" s="177"/>
      <c r="Q142" s="177"/>
      <c r="R142" s="177"/>
      <c r="S142" s="177"/>
      <c r="T142" s="177"/>
      <c r="U142" s="177"/>
      <c r="V142" s="177"/>
      <c r="W142" s="177"/>
      <c r="X142" s="468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2" customHeight="1">
      <c r="A143" s="353"/>
      <c r="B143" s="483"/>
      <c r="C143" s="357"/>
      <c r="D143" s="357"/>
      <c r="E143" s="481"/>
      <c r="F143" s="468"/>
      <c r="G143" s="356"/>
      <c r="H143" s="88"/>
      <c r="I143" s="59" t="s">
        <v>26</v>
      </c>
      <c r="J143" s="65">
        <f t="shared" ref="J143:P143" si="40">SUM(J139:J142)</f>
        <v>246103</v>
      </c>
      <c r="K143" s="229">
        <f t="shared" si="40"/>
        <v>326859</v>
      </c>
      <c r="L143" s="179">
        <f t="shared" si="40"/>
        <v>0</v>
      </c>
      <c r="M143" s="179">
        <f t="shared" si="40"/>
        <v>0</v>
      </c>
      <c r="N143" s="179">
        <f t="shared" si="40"/>
        <v>9090.36</v>
      </c>
      <c r="O143" s="179">
        <f t="shared" si="40"/>
        <v>0</v>
      </c>
      <c r="P143" s="179">
        <f t="shared" si="40"/>
        <v>0</v>
      </c>
      <c r="Q143" s="179"/>
      <c r="R143" s="179"/>
      <c r="S143" s="179"/>
      <c r="T143" s="179"/>
      <c r="U143" s="179"/>
      <c r="V143" s="179"/>
      <c r="W143" s="179"/>
      <c r="X143" s="468"/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5" hidden="1" customHeight="1">
      <c r="A144" s="361">
        <v>1</v>
      </c>
      <c r="B144" s="376" t="s">
        <v>129</v>
      </c>
      <c r="C144" s="433">
        <v>2017</v>
      </c>
      <c r="D144" s="433">
        <v>2021</v>
      </c>
      <c r="E144" s="470" t="s">
        <v>27</v>
      </c>
      <c r="F144" s="414">
        <v>0</v>
      </c>
      <c r="G144" s="547" t="s">
        <v>42</v>
      </c>
      <c r="H144" s="104">
        <v>4300</v>
      </c>
      <c r="I144" s="105" t="s">
        <v>34</v>
      </c>
      <c r="J144" s="106">
        <v>4670</v>
      </c>
      <c r="K144" s="106">
        <v>4670</v>
      </c>
      <c r="L144" s="106"/>
      <c r="M144" s="135">
        <v>0</v>
      </c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469">
        <f t="shared" ref="X144" si="41">SUM(L148:P148)</f>
        <v>0</v>
      </c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5" hidden="1" customHeight="1">
      <c r="A145" s="361"/>
      <c r="B145" s="376"/>
      <c r="C145" s="433"/>
      <c r="D145" s="433"/>
      <c r="E145" s="470"/>
      <c r="F145" s="414"/>
      <c r="G145" s="547"/>
      <c r="H145" s="104"/>
      <c r="I145" s="105" t="s">
        <v>31</v>
      </c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469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4.25" hidden="1" customHeight="1">
      <c r="A146" s="361"/>
      <c r="B146" s="376"/>
      <c r="C146" s="433"/>
      <c r="D146" s="433"/>
      <c r="E146" s="470"/>
      <c r="F146" s="414"/>
      <c r="G146" s="547"/>
      <c r="H146" s="104"/>
      <c r="I146" s="105" t="s">
        <v>30</v>
      </c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469"/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3.5" hidden="1" customHeight="1">
      <c r="A147" s="361"/>
      <c r="B147" s="376"/>
      <c r="C147" s="433"/>
      <c r="D147" s="433"/>
      <c r="E147" s="470"/>
      <c r="F147" s="414"/>
      <c r="G147" s="547"/>
      <c r="H147" s="104"/>
      <c r="I147" s="105" t="s">
        <v>33</v>
      </c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469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1.25" hidden="1" customHeight="1">
      <c r="A148" s="361"/>
      <c r="B148" s="376"/>
      <c r="C148" s="433"/>
      <c r="D148" s="433"/>
      <c r="E148" s="470"/>
      <c r="F148" s="414"/>
      <c r="G148" s="547"/>
      <c r="H148" s="104"/>
      <c r="I148" s="108" t="s">
        <v>26</v>
      </c>
      <c r="J148" s="109">
        <f>SUM(J144:J147)</f>
        <v>4670</v>
      </c>
      <c r="K148" s="109">
        <f>SUM(K144:K147)</f>
        <v>4670</v>
      </c>
      <c r="L148" s="109">
        <f>SUM(L144:L147)</f>
        <v>0</v>
      </c>
      <c r="M148" s="109">
        <f>SUM(M144:M147)</f>
        <v>0</v>
      </c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469"/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6.5" hidden="1" customHeight="1">
      <c r="A149" s="353">
        <v>3</v>
      </c>
      <c r="B149" s="376" t="s">
        <v>93</v>
      </c>
      <c r="C149" s="433">
        <v>2007</v>
      </c>
      <c r="D149" s="433">
        <v>2025</v>
      </c>
      <c r="E149" s="470" t="s">
        <v>27</v>
      </c>
      <c r="F149" s="414">
        <v>0</v>
      </c>
      <c r="G149" s="418">
        <v>60004</v>
      </c>
      <c r="H149" s="104">
        <v>2310</v>
      </c>
      <c r="I149" s="105" t="s">
        <v>28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0</v>
      </c>
      <c r="Q149" s="106"/>
      <c r="R149" s="106"/>
      <c r="S149" s="106"/>
      <c r="T149" s="106"/>
      <c r="U149" s="106"/>
      <c r="V149" s="106"/>
      <c r="W149" s="106"/>
      <c r="X149" s="469">
        <f t="shared" ref="X149" si="42">SUM(L153:P153)</f>
        <v>0</v>
      </c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5.75" hidden="1" customHeight="1">
      <c r="A150" s="353"/>
      <c r="B150" s="376"/>
      <c r="C150" s="433"/>
      <c r="D150" s="433"/>
      <c r="E150" s="470"/>
      <c r="F150" s="414"/>
      <c r="G150" s="418"/>
      <c r="H150" s="104"/>
      <c r="I150" s="105" t="s">
        <v>31</v>
      </c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469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5.75" hidden="1" customHeight="1">
      <c r="A151" s="353"/>
      <c r="B151" s="376"/>
      <c r="C151" s="433"/>
      <c r="D151" s="433"/>
      <c r="E151" s="470"/>
      <c r="F151" s="414"/>
      <c r="G151" s="418"/>
      <c r="H151" s="104"/>
      <c r="I151" s="105" t="s">
        <v>30</v>
      </c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469"/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2.75" hidden="1" customHeight="1">
      <c r="A152" s="353"/>
      <c r="B152" s="376"/>
      <c r="C152" s="433"/>
      <c r="D152" s="433"/>
      <c r="E152" s="470"/>
      <c r="F152" s="414"/>
      <c r="G152" s="418"/>
      <c r="H152" s="104"/>
      <c r="I152" s="105" t="s">
        <v>33</v>
      </c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469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7.25" hidden="1" customHeight="1">
      <c r="A153" s="353"/>
      <c r="B153" s="376"/>
      <c r="C153" s="433"/>
      <c r="D153" s="433"/>
      <c r="E153" s="470"/>
      <c r="F153" s="414"/>
      <c r="G153" s="418"/>
      <c r="H153" s="104"/>
      <c r="I153" s="108" t="s">
        <v>26</v>
      </c>
      <c r="J153" s="109">
        <f t="shared" ref="J153:O153" si="43">SUM(J149:J152)</f>
        <v>0</v>
      </c>
      <c r="K153" s="109">
        <f t="shared" si="43"/>
        <v>0</v>
      </c>
      <c r="L153" s="109">
        <f t="shared" si="43"/>
        <v>0</v>
      </c>
      <c r="M153" s="109">
        <f t="shared" si="43"/>
        <v>0</v>
      </c>
      <c r="N153" s="109">
        <f t="shared" si="43"/>
        <v>0</v>
      </c>
      <c r="O153" s="109">
        <f t="shared" si="43"/>
        <v>0</v>
      </c>
      <c r="P153" s="109">
        <v>0</v>
      </c>
      <c r="Q153" s="109"/>
      <c r="R153" s="109"/>
      <c r="S153" s="109"/>
      <c r="T153" s="109"/>
      <c r="U153" s="109"/>
      <c r="V153" s="109"/>
      <c r="W153" s="109"/>
      <c r="X153" s="469"/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53">
        <v>2</v>
      </c>
      <c r="B154" s="376" t="s">
        <v>101</v>
      </c>
      <c r="C154" s="433">
        <v>2019</v>
      </c>
      <c r="D154" s="433">
        <v>2020</v>
      </c>
      <c r="E154" s="470" t="s">
        <v>27</v>
      </c>
      <c r="F154" s="414"/>
      <c r="G154" s="418">
        <v>71012</v>
      </c>
      <c r="H154" s="104">
        <v>4300</v>
      </c>
      <c r="I154" s="105" t="s">
        <v>28</v>
      </c>
      <c r="J154" s="106">
        <v>100000</v>
      </c>
      <c r="K154" s="106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469">
        <f t="shared" ref="X154" si="44">SUM(L158:P158)</f>
        <v>0</v>
      </c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14.25" hidden="1" customHeight="1">
      <c r="A155" s="353"/>
      <c r="B155" s="376"/>
      <c r="C155" s="433"/>
      <c r="D155" s="433"/>
      <c r="E155" s="470"/>
      <c r="F155" s="414"/>
      <c r="G155" s="418"/>
      <c r="H155" s="104"/>
      <c r="I155" s="105" t="s">
        <v>31</v>
      </c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469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4.25" hidden="1" customHeight="1">
      <c r="A156" s="353"/>
      <c r="B156" s="376"/>
      <c r="C156" s="433"/>
      <c r="D156" s="433"/>
      <c r="E156" s="470"/>
      <c r="F156" s="414"/>
      <c r="G156" s="418"/>
      <c r="H156" s="104"/>
      <c r="I156" s="105" t="s">
        <v>30</v>
      </c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469"/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14.25" hidden="1" customHeight="1">
      <c r="A157" s="353"/>
      <c r="B157" s="376"/>
      <c r="C157" s="433"/>
      <c r="D157" s="433"/>
      <c r="E157" s="470"/>
      <c r="F157" s="414"/>
      <c r="G157" s="418"/>
      <c r="H157" s="104"/>
      <c r="I157" s="105" t="s">
        <v>33</v>
      </c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469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0.75" customHeight="1">
      <c r="A158" s="353"/>
      <c r="B158" s="376"/>
      <c r="C158" s="433"/>
      <c r="D158" s="433"/>
      <c r="E158" s="470"/>
      <c r="F158" s="414"/>
      <c r="G158" s="418"/>
      <c r="H158" s="104"/>
      <c r="I158" s="108" t="s">
        <v>26</v>
      </c>
      <c r="J158" s="109">
        <f t="shared" ref="J158:P158" si="45">SUM(J154:J157)</f>
        <v>100000</v>
      </c>
      <c r="K158" s="109">
        <f t="shared" si="45"/>
        <v>0</v>
      </c>
      <c r="L158" s="109">
        <f t="shared" si="45"/>
        <v>0</v>
      </c>
      <c r="M158" s="109">
        <f t="shared" si="45"/>
        <v>0</v>
      </c>
      <c r="N158" s="109">
        <f t="shared" si="45"/>
        <v>0</v>
      </c>
      <c r="O158" s="109">
        <f t="shared" si="45"/>
        <v>0</v>
      </c>
      <c r="P158" s="109">
        <f t="shared" si="45"/>
        <v>0</v>
      </c>
      <c r="Q158" s="109"/>
      <c r="R158" s="109"/>
      <c r="S158" s="109"/>
      <c r="T158" s="109"/>
      <c r="U158" s="109"/>
      <c r="V158" s="109"/>
      <c r="W158" s="109"/>
      <c r="X158" s="469"/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5" customHeight="1">
      <c r="A159" s="353">
        <v>2</v>
      </c>
      <c r="B159" s="373" t="s">
        <v>255</v>
      </c>
      <c r="C159" s="396">
        <v>2024</v>
      </c>
      <c r="D159" s="396">
        <v>2026</v>
      </c>
      <c r="E159" s="362" t="s">
        <v>260</v>
      </c>
      <c r="F159" s="385">
        <f>X159+3450</f>
        <v>9660</v>
      </c>
      <c r="G159" s="443">
        <v>75023</v>
      </c>
      <c r="H159" s="86">
        <v>4300</v>
      </c>
      <c r="I159" s="211" t="s">
        <v>251</v>
      </c>
      <c r="J159" s="259">
        <v>88050</v>
      </c>
      <c r="K159" s="259">
        <v>88050</v>
      </c>
      <c r="L159" s="262"/>
      <c r="M159" s="259"/>
      <c r="N159" s="259">
        <v>3450</v>
      </c>
      <c r="O159" s="259">
        <v>2760</v>
      </c>
      <c r="P159" s="259"/>
      <c r="Q159" s="259"/>
      <c r="R159" s="259"/>
      <c r="S159" s="259"/>
      <c r="T159" s="259"/>
      <c r="U159" s="259"/>
      <c r="V159" s="259"/>
      <c r="W159" s="259"/>
      <c r="X159" s="468">
        <f t="shared" ref="X159" si="46">SUM(L163:P163)</f>
        <v>6210</v>
      </c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5" customHeight="1">
      <c r="A160" s="353"/>
      <c r="B160" s="373"/>
      <c r="C160" s="396"/>
      <c r="D160" s="396"/>
      <c r="E160" s="362"/>
      <c r="F160" s="385"/>
      <c r="G160" s="443"/>
      <c r="H160" s="86"/>
      <c r="I160" s="211" t="s">
        <v>31</v>
      </c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468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5" customHeight="1">
      <c r="A161" s="353"/>
      <c r="B161" s="373"/>
      <c r="C161" s="396"/>
      <c r="D161" s="396"/>
      <c r="E161" s="362"/>
      <c r="F161" s="385"/>
      <c r="G161" s="443"/>
      <c r="H161" s="86"/>
      <c r="I161" s="211" t="s">
        <v>30</v>
      </c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468"/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6.5" customHeight="1">
      <c r="A162" s="353"/>
      <c r="B162" s="373"/>
      <c r="C162" s="396"/>
      <c r="D162" s="396"/>
      <c r="E162" s="362"/>
      <c r="F162" s="385"/>
      <c r="G162" s="443"/>
      <c r="H162" s="86"/>
      <c r="I162" s="211" t="s">
        <v>33</v>
      </c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468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2" customHeight="1">
      <c r="A163" s="353"/>
      <c r="B163" s="373"/>
      <c r="C163" s="396"/>
      <c r="D163" s="396"/>
      <c r="E163" s="362"/>
      <c r="F163" s="385"/>
      <c r="G163" s="443"/>
      <c r="H163" s="86"/>
      <c r="I163" s="59" t="s">
        <v>26</v>
      </c>
      <c r="J163" s="261">
        <f t="shared" ref="J163:Q163" si="47">SUM(J159:J162)</f>
        <v>88050</v>
      </c>
      <c r="K163" s="261">
        <f t="shared" si="47"/>
        <v>88050</v>
      </c>
      <c r="L163" s="261">
        <f t="shared" si="47"/>
        <v>0</v>
      </c>
      <c r="M163" s="261">
        <f t="shared" si="47"/>
        <v>0</v>
      </c>
      <c r="N163" s="261">
        <f t="shared" si="47"/>
        <v>3450</v>
      </c>
      <c r="O163" s="261">
        <f t="shared" si="47"/>
        <v>2760</v>
      </c>
      <c r="P163" s="261">
        <f t="shared" si="47"/>
        <v>0</v>
      </c>
      <c r="Q163" s="261">
        <f t="shared" si="47"/>
        <v>0</v>
      </c>
      <c r="R163" s="261"/>
      <c r="S163" s="261"/>
      <c r="T163" s="261"/>
      <c r="U163" s="261"/>
      <c r="V163" s="261"/>
      <c r="W163" s="261"/>
      <c r="X163" s="468"/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5" hidden="1" customHeight="1">
      <c r="A164" s="353">
        <v>6</v>
      </c>
      <c r="B164" s="376" t="s">
        <v>94</v>
      </c>
      <c r="C164" s="433">
        <v>2014</v>
      </c>
      <c r="D164" s="433">
        <v>2019</v>
      </c>
      <c r="E164" s="470" t="s">
        <v>27</v>
      </c>
      <c r="F164" s="414">
        <v>0</v>
      </c>
      <c r="G164" s="418">
        <v>90002</v>
      </c>
      <c r="H164" s="104">
        <v>4300</v>
      </c>
      <c r="I164" s="105" t="s">
        <v>28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/>
      <c r="Q164" s="106"/>
      <c r="R164" s="106"/>
      <c r="S164" s="106"/>
      <c r="T164" s="106"/>
      <c r="U164" s="106"/>
      <c r="V164" s="106"/>
      <c r="W164" s="106"/>
      <c r="X164" s="414">
        <f>SUM(J168:L168)</f>
        <v>0</v>
      </c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15" hidden="1" customHeight="1">
      <c r="A165" s="353"/>
      <c r="B165" s="376"/>
      <c r="C165" s="433"/>
      <c r="D165" s="433"/>
      <c r="E165" s="470"/>
      <c r="F165" s="414"/>
      <c r="G165" s="418"/>
      <c r="H165" s="104"/>
      <c r="I165" s="105" t="s">
        <v>31</v>
      </c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414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5" hidden="1" customHeight="1">
      <c r="A166" s="353"/>
      <c r="B166" s="376"/>
      <c r="C166" s="433"/>
      <c r="D166" s="433"/>
      <c r="E166" s="470"/>
      <c r="F166" s="414"/>
      <c r="G166" s="418"/>
      <c r="H166" s="104"/>
      <c r="I166" s="105" t="s">
        <v>30</v>
      </c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414"/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18.75" hidden="1" customHeight="1">
      <c r="A167" s="353"/>
      <c r="B167" s="376"/>
      <c r="C167" s="433"/>
      <c r="D167" s="433"/>
      <c r="E167" s="470"/>
      <c r="F167" s="414"/>
      <c r="G167" s="418"/>
      <c r="H167" s="104"/>
      <c r="I167" s="105" t="s">
        <v>33</v>
      </c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414"/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3.75" hidden="1" customHeight="1">
      <c r="A168" s="353"/>
      <c r="B168" s="376"/>
      <c r="C168" s="433"/>
      <c r="D168" s="433"/>
      <c r="E168" s="470"/>
      <c r="F168" s="414"/>
      <c r="G168" s="418"/>
      <c r="H168" s="104"/>
      <c r="I168" s="108" t="s">
        <v>26</v>
      </c>
      <c r="J168" s="109">
        <f t="shared" ref="J168:N168" si="48">SUM(J164:J167)</f>
        <v>0</v>
      </c>
      <c r="K168" s="109">
        <f t="shared" si="48"/>
        <v>0</v>
      </c>
      <c r="L168" s="109">
        <f t="shared" si="48"/>
        <v>0</v>
      </c>
      <c r="M168" s="109">
        <f t="shared" si="48"/>
        <v>0</v>
      </c>
      <c r="N168" s="109">
        <f t="shared" si="48"/>
        <v>0</v>
      </c>
      <c r="O168" s="109">
        <v>0</v>
      </c>
      <c r="P168" s="109"/>
      <c r="Q168" s="109"/>
      <c r="R168" s="109"/>
      <c r="S168" s="109"/>
      <c r="T168" s="109"/>
      <c r="U168" s="109"/>
      <c r="V168" s="109"/>
      <c r="W168" s="109"/>
      <c r="X168" s="414"/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7.25" customHeight="1">
      <c r="A169" s="56" t="s">
        <v>43</v>
      </c>
      <c r="B169" s="485" t="s">
        <v>22</v>
      </c>
      <c r="C169" s="485"/>
      <c r="D169" s="485"/>
      <c r="E169" s="485"/>
      <c r="F169" s="298">
        <f>F185+F195+F190+F201+F237+F242+F251+F252+F267+F272+F282+F297+F302+F312+F322+F362+F377+F382+F387+F392+F397+F412+F432+F442+F482+F487+F497+F507+F522+F577+F582+F587+F592+F612+F637+F642+F657+F662+F677+F698+F703+F713+F718+F728+F738+F748+F753+F768+F788+F180+F417+F622+F652+F512+F617+F216+F562+F607+F567+F572+F647+F247+F257+F262+F277+F287+F292+F307+F317+F327+F332+F337+F342+F407+F437+F492+F517+F632+F667+F672+F723+F688+F17032+F557+F693+F627+F206+F502</f>
        <v>152493652.72</v>
      </c>
      <c r="G169" s="56" t="s">
        <v>11</v>
      </c>
      <c r="H169" s="56" t="s">
        <v>11</v>
      </c>
      <c r="I169" s="56" t="s">
        <v>11</v>
      </c>
      <c r="J169" s="57" t="e">
        <f>J174+J179+J184+J189+J194+J200+J205+J220+#REF!+J236+J231+J246+J251+J261+J266+J271+#REF!+J276+J281+J291+J296+J301+J306+J311+J316+J321+J326+J331+J336+J341+J346+J351+J356+J361+J371+J376+#REF!+J401+J406+J411+J416+J421+J426+J431+J436+J581+J586+#REF!+J591+J596+J601+J606+#REF!+J661+J666+#REF!+#REF!+#REF!+J681+J687+J692+J752+J757+J762+J767+J772+J777+J787+J782+J366+J226</f>
        <v>#REF!</v>
      </c>
      <c r="K169" s="57" t="e">
        <f>K174+K179+K184+K189+K194+K200+K205+K220+#REF!+K236+K231+K246+K251+K261+K266+K271+#REF!+K276+K281+K291+K296+K301+K306+K311+K316+K321+K326+K331+K336+K341+K346+K351+K356+K361+K371+K376+#REF!+K401+K406+K411+K416+K421+K426+K431+K436+K581+K586+#REF!+K591+K596+K601+K606+#REF!+K661+K666+#REF!+#REF!+#REF!+K681+K687+K692+K752+K757+K762+K767+K772+K777+K787+K782+K366+K226+K441+#REF!+K702+K707+K712+K717+#REF!</f>
        <v>#REF!</v>
      </c>
      <c r="L169" s="57">
        <f>L174+L179+L184+L189+L194+L200+L205+L220+L236+L231+L246+L251+L261+L266+L271+L276+L281+L291+L296+L301+L306+L311+L316+L321+L326+L331+L336+L341+L346+L351+L356+L361+L371+L376+L401+L406+L411+L416+L421+L426+L431+L436+L446+L451+L456+L461+L466+L471+L476+L486+L531+L536+L561+L616+L626+L636+L676+L722+L727+L792+L581+L586+L591+L596+L601+L606+L661+L666+L681+L687+L692+L752+L757+L762+L767+L772+L777+L787+L782+L366+L226+L441+L702+L707+L712+L717+L641+L732+L656+L210+L381+L481+L491+L496+L501+L506+L511+L541+L546+L551+L556+L646+L737+L516+L521+L526+L747+L215+L241+L631</f>
        <v>0</v>
      </c>
      <c r="M169" s="57">
        <f>M184+M189+M194+M200+M205+M251+M256+M261+M266+M271+M276+M281+M291+M296+M301+M306+M311+M316+M321+M326+M331+M336+M341+M346+M366+M381+M386+M391+M396+M401+M411+M416+M421+M436+M441+M446+M491+M496+M516+M521+M566+M571+M576+M581+M586+M591+M596+M621+M626+M636+M646+M651+M661+M666+M671+M676+M702+M707+M717+M722+M742+M752+M757+M772+M792+M692+M17036+M561+M697</f>
        <v>0</v>
      </c>
      <c r="N169" s="57">
        <f t="shared" ref="N169:W169" si="49">N184+N189+N194+N200+N205+N251+N261+N266+N271+N276+N281+N291+N296+N301+N306+N311+N316+N321+N326+N331+N336+N341+N346+N366+N381+N386+N391+N396+N401+N411+N416+N421+N436+N441+N446+N491+N496+N516+N521+N581+N586+N591+N596+N601+N621+N626+N631+N636+N651+N661+N666+N681+N692+N702+N707+N742+N757+N772+N792+N256+N210+N501+N506+N641</f>
        <v>30647598</v>
      </c>
      <c r="O169" s="57">
        <f>O184+O189+O194+O200+O205+O251+O261+O266+O271+O276+O281+O291+O296+O301+O306+O311+O316+O321+O326+O331+O336+O341+O346+O366+O381+O386+O391+O396+O401+O411+O416+O421+O436+O441+O446+O491+O496+O516+O521+O581+O586+O591+O596+O601+O621+O626+O631+O636+O651+O661+O666+O681+O692+O702+O707+O742+O757+O772+O792+O256+O210+O501+O506+O641</f>
        <v>9816292</v>
      </c>
      <c r="P169" s="57">
        <f t="shared" si="49"/>
        <v>12624791</v>
      </c>
      <c r="Q169" s="57">
        <f t="shared" si="49"/>
        <v>11165441</v>
      </c>
      <c r="R169" s="57">
        <f t="shared" si="49"/>
        <v>11671263</v>
      </c>
      <c r="S169" s="57">
        <f t="shared" si="49"/>
        <v>8835000</v>
      </c>
      <c r="T169" s="57">
        <f t="shared" si="49"/>
        <v>7330000</v>
      </c>
      <c r="U169" s="57">
        <f t="shared" si="49"/>
        <v>5255000</v>
      </c>
      <c r="V169" s="57">
        <f t="shared" si="49"/>
        <v>3240000</v>
      </c>
      <c r="W169" s="57">
        <f t="shared" si="49"/>
        <v>170000</v>
      </c>
      <c r="X169" s="57">
        <f>SUM(X175:X792)+X17032</f>
        <v>100755385</v>
      </c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7.25" hidden="1" customHeight="1">
      <c r="A170" s="353" t="s">
        <v>17</v>
      </c>
      <c r="B170" s="545" t="s">
        <v>130</v>
      </c>
      <c r="C170" s="433">
        <v>2009</v>
      </c>
      <c r="D170" s="433">
        <v>2020</v>
      </c>
      <c r="E170" s="470" t="s">
        <v>27</v>
      </c>
      <c r="F170" s="414"/>
      <c r="G170" s="547" t="s">
        <v>41</v>
      </c>
      <c r="H170" s="104">
        <v>6010</v>
      </c>
      <c r="I170" s="105" t="s">
        <v>28</v>
      </c>
      <c r="J170" s="106">
        <v>363200</v>
      </c>
      <c r="K170" s="106"/>
      <c r="L170" s="136"/>
      <c r="M170" s="136">
        <v>0</v>
      </c>
      <c r="N170" s="136">
        <v>0</v>
      </c>
      <c r="O170" s="136">
        <v>0</v>
      </c>
      <c r="P170" s="136"/>
      <c r="Q170" s="136"/>
      <c r="R170" s="136"/>
      <c r="S170" s="136"/>
      <c r="T170" s="136"/>
      <c r="U170" s="136"/>
      <c r="V170" s="136"/>
      <c r="W170" s="136"/>
      <c r="X170" s="414">
        <v>0</v>
      </c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5.75" hidden="1" customHeight="1">
      <c r="A171" s="353"/>
      <c r="B171" s="545"/>
      <c r="C171" s="433"/>
      <c r="D171" s="433"/>
      <c r="E171" s="470"/>
      <c r="F171" s="414"/>
      <c r="G171" s="547"/>
      <c r="H171" s="104"/>
      <c r="I171" s="105" t="s">
        <v>31</v>
      </c>
      <c r="J171" s="106"/>
      <c r="K171" s="10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414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4.25" hidden="1" customHeight="1">
      <c r="A172" s="353"/>
      <c r="B172" s="545"/>
      <c r="C172" s="433"/>
      <c r="D172" s="433"/>
      <c r="E172" s="470"/>
      <c r="F172" s="414"/>
      <c r="G172" s="547"/>
      <c r="H172" s="104"/>
      <c r="I172" s="105" t="s">
        <v>30</v>
      </c>
      <c r="J172" s="106"/>
      <c r="K172" s="10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414"/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4.25" hidden="1" customHeight="1">
      <c r="A173" s="353"/>
      <c r="B173" s="545"/>
      <c r="C173" s="433"/>
      <c r="D173" s="433"/>
      <c r="E173" s="470"/>
      <c r="F173" s="414"/>
      <c r="G173" s="547"/>
      <c r="H173" s="104"/>
      <c r="I173" s="105" t="s">
        <v>33</v>
      </c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414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1.25" hidden="1" customHeight="1">
      <c r="A174" s="353"/>
      <c r="B174" s="545"/>
      <c r="C174" s="433"/>
      <c r="D174" s="433"/>
      <c r="E174" s="470"/>
      <c r="F174" s="414"/>
      <c r="G174" s="547"/>
      <c r="H174" s="104"/>
      <c r="I174" s="108" t="s">
        <v>26</v>
      </c>
      <c r="J174" s="109">
        <f t="shared" ref="J174:O174" si="50">J170</f>
        <v>363200</v>
      </c>
      <c r="K174" s="109">
        <f t="shared" si="50"/>
        <v>0</v>
      </c>
      <c r="L174" s="109">
        <f t="shared" si="50"/>
        <v>0</v>
      </c>
      <c r="M174" s="109">
        <f t="shared" si="50"/>
        <v>0</v>
      </c>
      <c r="N174" s="109">
        <f t="shared" si="50"/>
        <v>0</v>
      </c>
      <c r="O174" s="109">
        <f t="shared" si="50"/>
        <v>0</v>
      </c>
      <c r="P174" s="109"/>
      <c r="Q174" s="109"/>
      <c r="R174" s="109"/>
      <c r="S174" s="109"/>
      <c r="T174" s="109"/>
      <c r="U174" s="109"/>
      <c r="V174" s="109"/>
      <c r="W174" s="109"/>
      <c r="X174" s="414"/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8" hidden="1" customHeight="1">
      <c r="A175" s="353">
        <v>1</v>
      </c>
      <c r="B175" s="473" t="s">
        <v>164</v>
      </c>
      <c r="C175" s="375">
        <v>2011</v>
      </c>
      <c r="D175" s="375">
        <v>2023</v>
      </c>
      <c r="E175" s="472" t="s">
        <v>27</v>
      </c>
      <c r="F175" s="382">
        <f>X175</f>
        <v>0</v>
      </c>
      <c r="G175" s="471" t="s">
        <v>163</v>
      </c>
      <c r="H175" s="200">
        <v>6050</v>
      </c>
      <c r="I175" s="166" t="s">
        <v>28</v>
      </c>
      <c r="J175" s="164">
        <v>2194446</v>
      </c>
      <c r="K175" s="206">
        <v>0</v>
      </c>
      <c r="L175" s="263">
        <v>0</v>
      </c>
      <c r="M175" s="164"/>
      <c r="N175" s="241"/>
      <c r="O175" s="158"/>
      <c r="P175" s="158"/>
      <c r="Q175" s="186"/>
      <c r="R175" s="186"/>
      <c r="S175" s="186"/>
      <c r="T175" s="265"/>
      <c r="U175" s="186"/>
      <c r="V175" s="186"/>
      <c r="W175" s="186"/>
      <c r="X175" s="484">
        <f>SUM(K179:P179)</f>
        <v>0</v>
      </c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10.5" hidden="1" customHeight="1">
      <c r="A176" s="353"/>
      <c r="B176" s="473"/>
      <c r="C176" s="375"/>
      <c r="D176" s="375"/>
      <c r="E176" s="472"/>
      <c r="F176" s="382"/>
      <c r="G176" s="471"/>
      <c r="H176" s="200"/>
      <c r="I176" s="166" t="s">
        <v>45</v>
      </c>
      <c r="J176" s="164">
        <f>1057515</f>
        <v>1057515</v>
      </c>
      <c r="K176" s="186"/>
      <c r="L176" s="186"/>
      <c r="M176" s="18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484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" hidden="1" customHeight="1">
      <c r="A177" s="353"/>
      <c r="B177" s="473"/>
      <c r="C177" s="375"/>
      <c r="D177" s="375"/>
      <c r="E177" s="472"/>
      <c r="F177" s="382"/>
      <c r="G177" s="471"/>
      <c r="H177" s="200"/>
      <c r="I177" s="166" t="s">
        <v>46</v>
      </c>
      <c r="J177" s="164">
        <f>218642</f>
        <v>218642</v>
      </c>
      <c r="K177" s="186"/>
      <c r="L177" s="186"/>
      <c r="M177" s="186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484"/>
      <c r="Y177" s="40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15.75" hidden="1" customHeight="1">
      <c r="A178" s="353"/>
      <c r="B178" s="473"/>
      <c r="C178" s="375"/>
      <c r="D178" s="375"/>
      <c r="E178" s="472"/>
      <c r="F178" s="382"/>
      <c r="G178" s="471"/>
      <c r="H178" s="170"/>
      <c r="I178" s="155" t="s">
        <v>33</v>
      </c>
      <c r="J178" s="199"/>
      <c r="K178" s="186"/>
      <c r="L178" s="186"/>
      <c r="M178" s="186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484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8.25" hidden="1" customHeight="1">
      <c r="A179" s="353"/>
      <c r="B179" s="473"/>
      <c r="C179" s="375"/>
      <c r="D179" s="375"/>
      <c r="E179" s="472"/>
      <c r="F179" s="382"/>
      <c r="G179" s="471"/>
      <c r="H179" s="170"/>
      <c r="I179" s="160" t="s">
        <v>26</v>
      </c>
      <c r="J179" s="161">
        <f>SUM(J175:J178)</f>
        <v>3470603</v>
      </c>
      <c r="K179" s="207">
        <f t="shared" ref="K179:W179" si="51">SUM(K175:K178)</f>
        <v>0</v>
      </c>
      <c r="L179" s="207">
        <f t="shared" si="51"/>
        <v>0</v>
      </c>
      <c r="M179" s="161">
        <f>SUM(M175:M178)</f>
        <v>0</v>
      </c>
      <c r="N179" s="162">
        <f t="shared" si="51"/>
        <v>0</v>
      </c>
      <c r="O179" s="162">
        <f t="shared" si="51"/>
        <v>0</v>
      </c>
      <c r="P179" s="162">
        <f t="shared" si="51"/>
        <v>0</v>
      </c>
      <c r="Q179" s="162">
        <f t="shared" si="51"/>
        <v>0</v>
      </c>
      <c r="R179" s="162">
        <f t="shared" si="51"/>
        <v>0</v>
      </c>
      <c r="S179" s="162">
        <f t="shared" si="51"/>
        <v>0</v>
      </c>
      <c r="T179" s="162">
        <f t="shared" si="51"/>
        <v>0</v>
      </c>
      <c r="U179" s="162">
        <f t="shared" si="51"/>
        <v>0</v>
      </c>
      <c r="V179" s="162">
        <f t="shared" si="51"/>
        <v>0</v>
      </c>
      <c r="W179" s="162">
        <f t="shared" si="51"/>
        <v>0</v>
      </c>
      <c r="X179" s="484"/>
      <c r="Y179" s="40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53">
        <v>1</v>
      </c>
      <c r="B180" s="473" t="s">
        <v>44</v>
      </c>
      <c r="C180" s="375">
        <v>2014</v>
      </c>
      <c r="D180" s="375">
        <v>2032</v>
      </c>
      <c r="E180" s="362" t="s">
        <v>260</v>
      </c>
      <c r="F180" s="419">
        <f>2094946+X180+6164</f>
        <v>3371110</v>
      </c>
      <c r="G180" s="267" t="s">
        <v>153</v>
      </c>
      <c r="H180" s="200">
        <v>6050</v>
      </c>
      <c r="I180" s="166" t="s">
        <v>28</v>
      </c>
      <c r="J180" s="156">
        <v>310000</v>
      </c>
      <c r="K180" s="164">
        <v>24870</v>
      </c>
      <c r="L180" s="164"/>
      <c r="M180" s="164"/>
      <c r="N180" s="164">
        <v>22500</v>
      </c>
      <c r="O180" s="164">
        <f>50000+50000</f>
        <v>100000</v>
      </c>
      <c r="P180" s="164">
        <v>137500</v>
      </c>
      <c r="Q180" s="164">
        <v>50000</v>
      </c>
      <c r="R180" s="164">
        <v>50000</v>
      </c>
      <c r="S180" s="164">
        <v>62500</v>
      </c>
      <c r="T180" s="164">
        <v>75000</v>
      </c>
      <c r="U180" s="164">
        <v>137500</v>
      </c>
      <c r="V180" s="157"/>
      <c r="W180" s="157"/>
      <c r="X180" s="366">
        <f>SUM(M184:W184)</f>
        <v>1270000</v>
      </c>
      <c r="Y180" s="138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5" customHeight="1">
      <c r="A181" s="353"/>
      <c r="B181" s="473"/>
      <c r="C181" s="375"/>
      <c r="D181" s="375"/>
      <c r="E181" s="362"/>
      <c r="F181" s="419"/>
      <c r="G181" s="267" t="s">
        <v>154</v>
      </c>
      <c r="H181" s="200">
        <v>6050</v>
      </c>
      <c r="I181" s="166" t="s">
        <v>28</v>
      </c>
      <c r="J181" s="187"/>
      <c r="K181" s="169"/>
      <c r="L181" s="164"/>
      <c r="M181" s="164"/>
      <c r="N181" s="164">
        <v>22500</v>
      </c>
      <c r="O181" s="164">
        <f>50000+50000</f>
        <v>100000</v>
      </c>
      <c r="P181" s="156">
        <v>137500</v>
      </c>
      <c r="Q181" s="156">
        <v>50000</v>
      </c>
      <c r="R181" s="156">
        <v>50000</v>
      </c>
      <c r="S181" s="156">
        <v>62500</v>
      </c>
      <c r="T181" s="156">
        <v>75000</v>
      </c>
      <c r="U181" s="156">
        <v>137500</v>
      </c>
      <c r="V181" s="158"/>
      <c r="W181" s="158"/>
      <c r="X181" s="366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5" customHeight="1">
      <c r="A182" s="353"/>
      <c r="B182" s="473"/>
      <c r="C182" s="375"/>
      <c r="D182" s="375"/>
      <c r="E182" s="362"/>
      <c r="F182" s="419"/>
      <c r="G182" s="269"/>
      <c r="H182" s="170"/>
      <c r="I182" s="155" t="s">
        <v>30</v>
      </c>
      <c r="J182" s="199"/>
      <c r="K182" s="199"/>
      <c r="L182" s="199"/>
      <c r="M182" s="164"/>
      <c r="N182" s="199"/>
      <c r="O182" s="199"/>
      <c r="P182" s="186"/>
      <c r="Q182" s="186"/>
      <c r="R182" s="186"/>
      <c r="S182" s="186"/>
      <c r="T182" s="186"/>
      <c r="U182" s="186"/>
      <c r="V182" s="186"/>
      <c r="W182" s="186"/>
      <c r="X182" s="366"/>
      <c r="Y182" s="40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5" customHeight="1">
      <c r="A183" s="353"/>
      <c r="B183" s="473"/>
      <c r="C183" s="375"/>
      <c r="D183" s="375"/>
      <c r="E183" s="362"/>
      <c r="F183" s="419"/>
      <c r="G183" s="269"/>
      <c r="H183" s="170"/>
      <c r="I183" s="155" t="s">
        <v>33</v>
      </c>
      <c r="J183" s="186"/>
      <c r="K183" s="186"/>
      <c r="L183" s="186"/>
      <c r="M183" s="157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366"/>
      <c r="Y183" s="40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7.25" customHeight="1">
      <c r="A184" s="353"/>
      <c r="B184" s="473"/>
      <c r="C184" s="375"/>
      <c r="D184" s="375"/>
      <c r="E184" s="362"/>
      <c r="F184" s="419"/>
      <c r="G184" s="271"/>
      <c r="H184" s="170"/>
      <c r="I184" s="160" t="s">
        <v>26</v>
      </c>
      <c r="J184" s="161">
        <f t="shared" ref="J184:W184" si="52">SUM(J180:J183)</f>
        <v>310000</v>
      </c>
      <c r="K184" s="161">
        <f t="shared" si="52"/>
        <v>24870</v>
      </c>
      <c r="L184" s="161">
        <f t="shared" si="52"/>
        <v>0</v>
      </c>
      <c r="M184" s="161">
        <f t="shared" si="52"/>
        <v>0</v>
      </c>
      <c r="N184" s="217">
        <f t="shared" si="52"/>
        <v>45000</v>
      </c>
      <c r="O184" s="217">
        <f t="shared" si="52"/>
        <v>200000</v>
      </c>
      <c r="P184" s="217">
        <f t="shared" si="52"/>
        <v>275000</v>
      </c>
      <c r="Q184" s="161">
        <f t="shared" si="52"/>
        <v>100000</v>
      </c>
      <c r="R184" s="161">
        <f t="shared" si="52"/>
        <v>100000</v>
      </c>
      <c r="S184" s="161">
        <f t="shared" si="52"/>
        <v>125000</v>
      </c>
      <c r="T184" s="161">
        <f t="shared" si="52"/>
        <v>150000</v>
      </c>
      <c r="U184" s="161">
        <f t="shared" si="52"/>
        <v>275000</v>
      </c>
      <c r="V184" s="161">
        <f t="shared" si="52"/>
        <v>0</v>
      </c>
      <c r="W184" s="161">
        <f t="shared" si="52"/>
        <v>0</v>
      </c>
      <c r="X184" s="366"/>
      <c r="Y184" s="40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53">
        <v>2</v>
      </c>
      <c r="B185" s="477" t="s">
        <v>247</v>
      </c>
      <c r="C185" s="375">
        <v>2015</v>
      </c>
      <c r="D185" s="375">
        <v>2030</v>
      </c>
      <c r="E185" s="362" t="s">
        <v>260</v>
      </c>
      <c r="F185" s="541">
        <f>1491381+X185+400000</f>
        <v>4191381</v>
      </c>
      <c r="G185" s="275" t="s">
        <v>153</v>
      </c>
      <c r="H185" s="270">
        <v>6050</v>
      </c>
      <c r="I185" s="166" t="s">
        <v>28</v>
      </c>
      <c r="J185" s="164">
        <f>38000+68000+104000</f>
        <v>210000</v>
      </c>
      <c r="K185" s="164">
        <v>142459</v>
      </c>
      <c r="L185" s="164"/>
      <c r="M185" s="164"/>
      <c r="N185" s="164">
        <v>62500</v>
      </c>
      <c r="O185" s="164">
        <v>200000</v>
      </c>
      <c r="P185" s="164">
        <v>287500</v>
      </c>
      <c r="Q185" s="164">
        <v>200000</v>
      </c>
      <c r="R185" s="164">
        <v>200000</v>
      </c>
      <c r="S185" s="164">
        <v>200000</v>
      </c>
      <c r="T185" s="157"/>
      <c r="U185" s="157"/>
      <c r="V185" s="157"/>
      <c r="W185" s="157"/>
      <c r="X185" s="484">
        <f>SUM(M189:W189)</f>
        <v>2300000</v>
      </c>
      <c r="Y185" s="138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2.75" customHeight="1">
      <c r="A186" s="353"/>
      <c r="B186" s="477"/>
      <c r="C186" s="375"/>
      <c r="D186" s="375"/>
      <c r="E186" s="362"/>
      <c r="F186" s="541"/>
      <c r="G186" s="274" t="s">
        <v>154</v>
      </c>
      <c r="H186" s="270">
        <v>6050</v>
      </c>
      <c r="I186" s="166" t="s">
        <v>28</v>
      </c>
      <c r="J186" s="164"/>
      <c r="K186" s="164"/>
      <c r="L186" s="164"/>
      <c r="M186" s="156"/>
      <c r="N186" s="164">
        <v>62500</v>
      </c>
      <c r="O186" s="164">
        <v>200000</v>
      </c>
      <c r="P186" s="164">
        <v>287500</v>
      </c>
      <c r="Q186" s="164">
        <v>200000</v>
      </c>
      <c r="R186" s="164">
        <v>200000</v>
      </c>
      <c r="S186" s="164">
        <v>200000</v>
      </c>
      <c r="T186" s="186"/>
      <c r="U186" s="186"/>
      <c r="V186" s="186"/>
      <c r="W186" s="186"/>
      <c r="X186" s="484"/>
      <c r="Y186" s="133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53"/>
      <c r="B187" s="477"/>
      <c r="C187" s="375"/>
      <c r="D187" s="375"/>
      <c r="E187" s="362"/>
      <c r="F187" s="541"/>
      <c r="G187" s="272"/>
      <c r="H187" s="270"/>
      <c r="I187" s="166" t="s">
        <v>30</v>
      </c>
      <c r="J187" s="169"/>
      <c r="K187" s="169"/>
      <c r="L187" s="169"/>
      <c r="M187" s="187"/>
      <c r="N187" s="187"/>
      <c r="O187" s="187"/>
      <c r="P187" s="187"/>
      <c r="Q187" s="187"/>
      <c r="R187" s="187"/>
      <c r="S187" s="187"/>
      <c r="T187" s="186"/>
      <c r="U187" s="186"/>
      <c r="V187" s="186"/>
      <c r="W187" s="186"/>
      <c r="X187" s="484"/>
      <c r="Y187" s="133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2.75" customHeight="1">
      <c r="A188" s="353"/>
      <c r="B188" s="477"/>
      <c r="C188" s="375"/>
      <c r="D188" s="375"/>
      <c r="E188" s="362"/>
      <c r="F188" s="541"/>
      <c r="G188" s="272"/>
      <c r="H188" s="270"/>
      <c r="I188" s="155" t="s">
        <v>33</v>
      </c>
      <c r="J188" s="199"/>
      <c r="K188" s="199"/>
      <c r="L188" s="199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484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6.149999999999999" customHeight="1">
      <c r="A189" s="353"/>
      <c r="B189" s="477"/>
      <c r="C189" s="375"/>
      <c r="D189" s="375"/>
      <c r="E189" s="362"/>
      <c r="F189" s="541"/>
      <c r="G189" s="273"/>
      <c r="H189" s="270"/>
      <c r="I189" s="160" t="s">
        <v>26</v>
      </c>
      <c r="J189" s="161">
        <f t="shared" ref="J189:N189" si="53">SUM(J185:J188)</f>
        <v>210000</v>
      </c>
      <c r="K189" s="161">
        <f t="shared" si="53"/>
        <v>142459</v>
      </c>
      <c r="L189" s="161">
        <f t="shared" si="53"/>
        <v>0</v>
      </c>
      <c r="M189" s="161">
        <f t="shared" si="53"/>
        <v>0</v>
      </c>
      <c r="N189" s="161">
        <f t="shared" si="53"/>
        <v>125000</v>
      </c>
      <c r="O189" s="162">
        <f>SUM(O185:O188)</f>
        <v>400000</v>
      </c>
      <c r="P189" s="162">
        <f>SUM(P185:P188)</f>
        <v>575000</v>
      </c>
      <c r="Q189" s="162">
        <f>SUM(Q185:Q188)</f>
        <v>400000</v>
      </c>
      <c r="R189" s="162">
        <f>SUM(R185:R188)</f>
        <v>400000</v>
      </c>
      <c r="S189" s="162">
        <f t="shared" ref="S189:W189" si="54">SUM(S185:S188)</f>
        <v>400000</v>
      </c>
      <c r="T189" s="162">
        <f t="shared" si="54"/>
        <v>0</v>
      </c>
      <c r="U189" s="162">
        <f t="shared" si="54"/>
        <v>0</v>
      </c>
      <c r="V189" s="162">
        <f t="shared" si="54"/>
        <v>0</v>
      </c>
      <c r="W189" s="162">
        <f t="shared" si="54"/>
        <v>0</v>
      </c>
      <c r="X189" s="484"/>
      <c r="Y189" s="40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53">
        <v>3</v>
      </c>
      <c r="B190" s="374" t="s">
        <v>244</v>
      </c>
      <c r="C190" s="375">
        <v>2024</v>
      </c>
      <c r="D190" s="375">
        <v>2025</v>
      </c>
      <c r="E190" s="362" t="s">
        <v>260</v>
      </c>
      <c r="F190" s="419">
        <f>X190+20000</f>
        <v>20000</v>
      </c>
      <c r="G190" s="269" t="s">
        <v>242</v>
      </c>
      <c r="H190" s="170">
        <v>6050</v>
      </c>
      <c r="I190" s="155" t="s">
        <v>28</v>
      </c>
      <c r="J190" s="157">
        <f>1300000-1300000</f>
        <v>0</v>
      </c>
      <c r="K190" s="157"/>
      <c r="L190" s="164">
        <v>0</v>
      </c>
      <c r="M190" s="164"/>
      <c r="N190" s="164">
        <v>0</v>
      </c>
      <c r="O190" s="164"/>
      <c r="P190" s="164"/>
      <c r="Q190" s="164"/>
      <c r="R190" s="157"/>
      <c r="S190" s="157"/>
      <c r="T190" s="157"/>
      <c r="U190" s="157"/>
      <c r="V190" s="157"/>
      <c r="W190" s="157"/>
      <c r="X190" s="366">
        <f>SUM(L194:P194)</f>
        <v>0</v>
      </c>
      <c r="Y190" s="138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2.75" customHeight="1">
      <c r="A191" s="353"/>
      <c r="B191" s="374"/>
      <c r="C191" s="375"/>
      <c r="D191" s="375"/>
      <c r="E191" s="362"/>
      <c r="F191" s="419"/>
      <c r="G191" s="269" t="s">
        <v>154</v>
      </c>
      <c r="H191" s="170">
        <v>6050</v>
      </c>
      <c r="I191" s="155" t="s">
        <v>31</v>
      </c>
      <c r="J191" s="209"/>
      <c r="K191" s="209"/>
      <c r="L191" s="209"/>
      <c r="M191" s="185"/>
      <c r="N191" s="164">
        <v>0</v>
      </c>
      <c r="O191" s="185"/>
      <c r="P191" s="185"/>
      <c r="Q191" s="185"/>
      <c r="R191" s="185"/>
      <c r="S191" s="185"/>
      <c r="T191" s="185"/>
      <c r="U191" s="185"/>
      <c r="V191" s="185"/>
      <c r="W191" s="185"/>
      <c r="X191" s="366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2.75" customHeight="1">
      <c r="A192" s="353"/>
      <c r="B192" s="374"/>
      <c r="C192" s="375"/>
      <c r="D192" s="375"/>
      <c r="E192" s="362"/>
      <c r="F192" s="419"/>
      <c r="G192" s="269"/>
      <c r="H192" s="170"/>
      <c r="I192" s="155" t="s">
        <v>30</v>
      </c>
      <c r="J192" s="189"/>
      <c r="K192" s="189"/>
      <c r="L192" s="189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366"/>
      <c r="Y192" s="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2.75" customHeight="1">
      <c r="A193" s="353"/>
      <c r="B193" s="374"/>
      <c r="C193" s="375"/>
      <c r="D193" s="375"/>
      <c r="E193" s="362"/>
      <c r="F193" s="419"/>
      <c r="G193" s="269"/>
      <c r="H193" s="170"/>
      <c r="I193" s="155" t="s">
        <v>33</v>
      </c>
      <c r="J193" s="189"/>
      <c r="K193" s="189"/>
      <c r="L193" s="189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366"/>
      <c r="Y193" s="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8" customHeight="1">
      <c r="A194" s="353"/>
      <c r="B194" s="374"/>
      <c r="C194" s="375"/>
      <c r="D194" s="375"/>
      <c r="E194" s="362"/>
      <c r="F194" s="419"/>
      <c r="G194" s="269"/>
      <c r="H194" s="170"/>
      <c r="I194" s="160" t="s">
        <v>26</v>
      </c>
      <c r="J194" s="161">
        <f t="shared" ref="J194:N194" si="55">SUM(J190:J193)</f>
        <v>0</v>
      </c>
      <c r="K194" s="161">
        <f t="shared" si="55"/>
        <v>0</v>
      </c>
      <c r="L194" s="161">
        <f t="shared" si="55"/>
        <v>0</v>
      </c>
      <c r="M194" s="161">
        <f t="shared" si="55"/>
        <v>0</v>
      </c>
      <c r="N194" s="162">
        <f t="shared" si="55"/>
        <v>0</v>
      </c>
      <c r="O194" s="162">
        <f>SUM(O190:O193)</f>
        <v>0</v>
      </c>
      <c r="P194" s="162">
        <f>SUM(P190:P193)</f>
        <v>0</v>
      </c>
      <c r="Q194" s="162">
        <f t="shared" ref="Q194:W194" si="56">SUM(Q190:Q193)</f>
        <v>0</v>
      </c>
      <c r="R194" s="162">
        <f t="shared" si="56"/>
        <v>0</v>
      </c>
      <c r="S194" s="162">
        <f t="shared" si="56"/>
        <v>0</v>
      </c>
      <c r="T194" s="162">
        <f t="shared" si="56"/>
        <v>0</v>
      </c>
      <c r="U194" s="162">
        <f t="shared" si="56"/>
        <v>0</v>
      </c>
      <c r="V194" s="162">
        <f t="shared" si="56"/>
        <v>0</v>
      </c>
      <c r="W194" s="162">
        <f t="shared" si="56"/>
        <v>0</v>
      </c>
      <c r="X194" s="366"/>
      <c r="Y194" s="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53">
        <v>4</v>
      </c>
      <c r="B195" s="374" t="s">
        <v>47</v>
      </c>
      <c r="C195" s="375">
        <v>2013</v>
      </c>
      <c r="D195" s="370">
        <v>2033</v>
      </c>
      <c r="E195" s="362" t="s">
        <v>260</v>
      </c>
      <c r="F195" s="419">
        <f>3987434+X195+365936</f>
        <v>10138370</v>
      </c>
      <c r="G195" s="267" t="s">
        <v>153</v>
      </c>
      <c r="H195" s="165">
        <v>6060</v>
      </c>
      <c r="I195" s="166" t="s">
        <v>28</v>
      </c>
      <c r="J195" s="164">
        <v>615000</v>
      </c>
      <c r="K195" s="164">
        <v>513000</v>
      </c>
      <c r="L195" s="164"/>
      <c r="M195" s="164"/>
      <c r="N195" s="164">
        <v>175000</v>
      </c>
      <c r="O195" s="164">
        <v>80000</v>
      </c>
      <c r="P195" s="164">
        <v>100000</v>
      </c>
      <c r="Q195" s="164">
        <v>80000</v>
      </c>
      <c r="R195" s="164">
        <v>100000</v>
      </c>
      <c r="S195" s="164"/>
      <c r="T195" s="164"/>
      <c r="U195" s="164"/>
      <c r="V195" s="164"/>
      <c r="W195" s="164"/>
      <c r="X195" s="366">
        <f>SUM(L200:W200)</f>
        <v>5785000</v>
      </c>
      <c r="Y195" s="1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53"/>
      <c r="B196" s="374"/>
      <c r="C196" s="375"/>
      <c r="D196" s="370"/>
      <c r="E196" s="362"/>
      <c r="F196" s="419"/>
      <c r="G196" s="267" t="s">
        <v>154</v>
      </c>
      <c r="H196" s="165">
        <v>6060</v>
      </c>
      <c r="I196" s="166" t="s">
        <v>28</v>
      </c>
      <c r="J196" s="164"/>
      <c r="K196" s="164"/>
      <c r="L196" s="164"/>
      <c r="M196" s="164"/>
      <c r="N196" s="164">
        <v>165000</v>
      </c>
      <c r="O196" s="164">
        <v>70000</v>
      </c>
      <c r="P196" s="164">
        <v>100000</v>
      </c>
      <c r="Q196" s="164">
        <v>70000</v>
      </c>
      <c r="R196" s="164">
        <v>100000</v>
      </c>
      <c r="S196" s="164"/>
      <c r="T196" s="164"/>
      <c r="U196" s="164"/>
      <c r="V196" s="164"/>
      <c r="W196" s="164"/>
      <c r="X196" s="366"/>
      <c r="Y196" s="1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5" customHeight="1">
      <c r="A197" s="353"/>
      <c r="B197" s="374"/>
      <c r="C197" s="375"/>
      <c r="D197" s="370"/>
      <c r="E197" s="362"/>
      <c r="F197" s="419"/>
      <c r="G197" s="267" t="s">
        <v>153</v>
      </c>
      <c r="H197" s="165">
        <v>6060</v>
      </c>
      <c r="I197" s="166" t="s">
        <v>28</v>
      </c>
      <c r="J197" s="156"/>
      <c r="K197" s="156"/>
      <c r="L197" s="156"/>
      <c r="M197" s="156"/>
      <c r="N197" s="156">
        <v>65000</v>
      </c>
      <c r="O197" s="156">
        <v>200000</v>
      </c>
      <c r="P197" s="156">
        <v>140000</v>
      </c>
      <c r="Q197" s="156">
        <v>130000</v>
      </c>
      <c r="R197" s="156">
        <v>130000</v>
      </c>
      <c r="S197" s="156">
        <v>130000</v>
      </c>
      <c r="T197" s="156">
        <v>130000</v>
      </c>
      <c r="U197" s="156">
        <v>130000</v>
      </c>
      <c r="V197" s="156">
        <v>130000</v>
      </c>
      <c r="W197" s="158"/>
      <c r="X197" s="366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5" customHeight="1">
      <c r="A198" s="353"/>
      <c r="B198" s="374"/>
      <c r="C198" s="375"/>
      <c r="D198" s="370"/>
      <c r="E198" s="362"/>
      <c r="F198" s="419"/>
      <c r="G198" s="267" t="s">
        <v>154</v>
      </c>
      <c r="H198" s="165">
        <v>6060</v>
      </c>
      <c r="I198" s="166" t="s">
        <v>28</v>
      </c>
      <c r="J198" s="156"/>
      <c r="K198" s="156"/>
      <c r="L198" s="156"/>
      <c r="M198" s="156"/>
      <c r="N198" s="156">
        <v>110000</v>
      </c>
      <c r="O198" s="156">
        <f>190000+100000</f>
        <v>290000</v>
      </c>
      <c r="P198" s="156">
        <v>140000</v>
      </c>
      <c r="Q198" s="156">
        <v>140000</v>
      </c>
      <c r="R198" s="156">
        <v>140000</v>
      </c>
      <c r="S198" s="156">
        <v>140000</v>
      </c>
      <c r="T198" s="156">
        <v>140000</v>
      </c>
      <c r="U198" s="156">
        <v>140000</v>
      </c>
      <c r="V198" s="156">
        <v>140000</v>
      </c>
      <c r="W198" s="156"/>
      <c r="X198" s="366"/>
      <c r="Y198" s="40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5" customHeight="1">
      <c r="A199" s="353"/>
      <c r="B199" s="374"/>
      <c r="C199" s="375"/>
      <c r="D199" s="370"/>
      <c r="E199" s="362"/>
      <c r="F199" s="419"/>
      <c r="G199" s="267" t="s">
        <v>155</v>
      </c>
      <c r="H199" s="165">
        <v>6060</v>
      </c>
      <c r="I199" s="166" t="s">
        <v>28</v>
      </c>
      <c r="J199" s="187"/>
      <c r="K199" s="187"/>
      <c r="L199" s="156"/>
      <c r="M199" s="156"/>
      <c r="N199" s="156">
        <v>60000</v>
      </c>
      <c r="O199" s="156">
        <f>220000+100000</f>
        <v>320000</v>
      </c>
      <c r="P199" s="156">
        <v>250000</v>
      </c>
      <c r="Q199" s="156">
        <v>300000</v>
      </c>
      <c r="R199" s="156">
        <v>250000</v>
      </c>
      <c r="S199" s="156">
        <v>250000</v>
      </c>
      <c r="T199" s="156">
        <v>250000</v>
      </c>
      <c r="U199" s="156">
        <v>250000</v>
      </c>
      <c r="V199" s="156">
        <v>250000</v>
      </c>
      <c r="W199" s="156"/>
      <c r="X199" s="366"/>
      <c r="Y199" s="40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2.75" customHeight="1">
      <c r="A200" s="353"/>
      <c r="B200" s="374"/>
      <c r="C200" s="375"/>
      <c r="D200" s="370"/>
      <c r="E200" s="362"/>
      <c r="F200" s="419"/>
      <c r="G200" s="266"/>
      <c r="H200" s="154"/>
      <c r="I200" s="160" t="s">
        <v>26</v>
      </c>
      <c r="J200" s="207">
        <f>SUM(J195:J199)</f>
        <v>615000</v>
      </c>
      <c r="K200" s="207">
        <f t="shared" ref="K200" si="57">SUM(K195:K199)</f>
        <v>513000</v>
      </c>
      <c r="L200" s="207">
        <f>SUM(L195:L199)</f>
        <v>0</v>
      </c>
      <c r="M200" s="207">
        <f t="shared" ref="M200:W200" si="58">SUM(M195:M199)</f>
        <v>0</v>
      </c>
      <c r="N200" s="207">
        <f t="shared" si="58"/>
        <v>575000</v>
      </c>
      <c r="O200" s="207">
        <f t="shared" si="58"/>
        <v>960000</v>
      </c>
      <c r="P200" s="207">
        <f t="shared" si="58"/>
        <v>730000</v>
      </c>
      <c r="Q200" s="207">
        <f t="shared" si="58"/>
        <v>720000</v>
      </c>
      <c r="R200" s="207">
        <f t="shared" si="58"/>
        <v>720000</v>
      </c>
      <c r="S200" s="207">
        <f t="shared" si="58"/>
        <v>520000</v>
      </c>
      <c r="T200" s="207">
        <f t="shared" si="58"/>
        <v>520000</v>
      </c>
      <c r="U200" s="207">
        <f t="shared" si="58"/>
        <v>520000</v>
      </c>
      <c r="V200" s="207">
        <f t="shared" si="58"/>
        <v>520000</v>
      </c>
      <c r="W200" s="207">
        <f t="shared" si="58"/>
        <v>0</v>
      </c>
      <c r="X200" s="366"/>
      <c r="Y200" s="40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3.5" customHeight="1">
      <c r="A201" s="353">
        <v>5</v>
      </c>
      <c r="B201" s="374" t="s">
        <v>48</v>
      </c>
      <c r="C201" s="370">
        <v>2014</v>
      </c>
      <c r="D201" s="370">
        <v>2029</v>
      </c>
      <c r="E201" s="362" t="s">
        <v>260</v>
      </c>
      <c r="F201" s="382">
        <f>840791+X201</f>
        <v>1260791</v>
      </c>
      <c r="G201" s="266" t="s">
        <v>154</v>
      </c>
      <c r="H201" s="165">
        <v>6050</v>
      </c>
      <c r="I201" s="155" t="s">
        <v>28</v>
      </c>
      <c r="J201" s="164">
        <v>110641</v>
      </c>
      <c r="K201" s="158">
        <f>50000-50000</f>
        <v>0</v>
      </c>
      <c r="L201" s="156"/>
      <c r="M201" s="156">
        <v>0</v>
      </c>
      <c r="N201" s="156">
        <v>100000</v>
      </c>
      <c r="O201" s="156">
        <v>75000</v>
      </c>
      <c r="P201" s="156">
        <v>100000</v>
      </c>
      <c r="Q201" s="156">
        <v>75000</v>
      </c>
      <c r="R201" s="156">
        <v>70000</v>
      </c>
      <c r="S201" s="156"/>
      <c r="T201" s="156"/>
      <c r="U201" s="156"/>
      <c r="V201" s="158"/>
      <c r="W201" s="158"/>
      <c r="X201" s="484">
        <f>SUM(M205:W205)</f>
        <v>420000</v>
      </c>
      <c r="Y201" s="141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53"/>
      <c r="B202" s="374"/>
      <c r="C202" s="370"/>
      <c r="D202" s="370"/>
      <c r="E202" s="362"/>
      <c r="F202" s="382"/>
      <c r="G202" s="269"/>
      <c r="H202" s="165"/>
      <c r="I202" s="155" t="s">
        <v>31</v>
      </c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484"/>
      <c r="Y202" s="141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3.5" customHeight="1">
      <c r="A203" s="353"/>
      <c r="B203" s="374"/>
      <c r="C203" s="370"/>
      <c r="D203" s="370"/>
      <c r="E203" s="362"/>
      <c r="F203" s="382"/>
      <c r="G203" s="269"/>
      <c r="H203" s="165"/>
      <c r="I203" s="155" t="s">
        <v>30</v>
      </c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484"/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8" customHeight="1">
      <c r="A204" s="353"/>
      <c r="B204" s="374"/>
      <c r="C204" s="370"/>
      <c r="D204" s="370"/>
      <c r="E204" s="362"/>
      <c r="F204" s="382"/>
      <c r="G204" s="269"/>
      <c r="H204" s="165">
        <v>6050</v>
      </c>
      <c r="I204" s="155" t="s">
        <v>140</v>
      </c>
      <c r="J204" s="186"/>
      <c r="K204" s="186"/>
      <c r="L204" s="156">
        <v>0</v>
      </c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484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3.5" customHeight="1">
      <c r="A205" s="353"/>
      <c r="B205" s="374"/>
      <c r="C205" s="370"/>
      <c r="D205" s="370"/>
      <c r="E205" s="362"/>
      <c r="F205" s="382"/>
      <c r="G205" s="269"/>
      <c r="H205" s="165"/>
      <c r="I205" s="160" t="s">
        <v>26</v>
      </c>
      <c r="J205" s="161">
        <f t="shared" ref="J205:W205" si="59">SUM(J201:J204)</f>
        <v>110641</v>
      </c>
      <c r="K205" s="161">
        <f t="shared" si="59"/>
        <v>0</v>
      </c>
      <c r="L205" s="161">
        <f t="shared" si="59"/>
        <v>0</v>
      </c>
      <c r="M205" s="161">
        <f t="shared" si="59"/>
        <v>0</v>
      </c>
      <c r="N205" s="161">
        <f t="shared" si="59"/>
        <v>100000</v>
      </c>
      <c r="O205" s="161">
        <f>SUM(O201:O204)</f>
        <v>75000</v>
      </c>
      <c r="P205" s="161">
        <f t="shared" si="59"/>
        <v>100000</v>
      </c>
      <c r="Q205" s="161">
        <f t="shared" si="59"/>
        <v>75000</v>
      </c>
      <c r="R205" s="161">
        <f t="shared" si="59"/>
        <v>70000</v>
      </c>
      <c r="S205" s="161">
        <f t="shared" si="59"/>
        <v>0</v>
      </c>
      <c r="T205" s="161">
        <f t="shared" si="59"/>
        <v>0</v>
      </c>
      <c r="U205" s="161">
        <f t="shared" si="59"/>
        <v>0</v>
      </c>
      <c r="V205" s="161">
        <f t="shared" si="59"/>
        <v>0</v>
      </c>
      <c r="W205" s="161">
        <f t="shared" si="59"/>
        <v>0</v>
      </c>
      <c r="X205" s="484"/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421">
        <v>6</v>
      </c>
      <c r="B206" s="459" t="s">
        <v>258</v>
      </c>
      <c r="C206" s="450">
        <v>2025</v>
      </c>
      <c r="D206" s="450">
        <v>2026</v>
      </c>
      <c r="E206" s="362" t="s">
        <v>260</v>
      </c>
      <c r="F206" s="542">
        <f>X206</f>
        <v>200000</v>
      </c>
      <c r="G206" s="267" t="s">
        <v>155</v>
      </c>
      <c r="H206" s="165">
        <v>6050</v>
      </c>
      <c r="I206" s="155" t="s">
        <v>28</v>
      </c>
      <c r="J206" s="164">
        <v>110641</v>
      </c>
      <c r="K206" s="158">
        <f>50000-50000</f>
        <v>0</v>
      </c>
      <c r="L206" s="156"/>
      <c r="M206" s="158"/>
      <c r="N206" s="156">
        <v>50000</v>
      </c>
      <c r="O206" s="156">
        <v>150000</v>
      </c>
      <c r="P206" s="158"/>
      <c r="Q206" s="158"/>
      <c r="R206" s="158"/>
      <c r="S206" s="158"/>
      <c r="T206" s="158"/>
      <c r="U206" s="158"/>
      <c r="V206" s="158"/>
      <c r="W206" s="158"/>
      <c r="X206" s="484">
        <f>SUM(L210:R210)</f>
        <v>200000</v>
      </c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5.75" customHeight="1">
      <c r="A207" s="422"/>
      <c r="B207" s="460"/>
      <c r="C207" s="451"/>
      <c r="D207" s="451"/>
      <c r="E207" s="362"/>
      <c r="F207" s="543"/>
      <c r="G207" s="267"/>
      <c r="H207" s="165"/>
      <c r="I207" s="155" t="s">
        <v>31</v>
      </c>
      <c r="J207" s="186"/>
      <c r="K207" s="186"/>
      <c r="L207" s="15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484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5.75" customHeight="1">
      <c r="A208" s="422"/>
      <c r="B208" s="460"/>
      <c r="C208" s="451"/>
      <c r="D208" s="451"/>
      <c r="E208" s="362"/>
      <c r="F208" s="543"/>
      <c r="G208" s="266"/>
      <c r="H208" s="165"/>
      <c r="I208" s="155" t="s">
        <v>30</v>
      </c>
      <c r="J208" s="186"/>
      <c r="K208" s="186"/>
      <c r="L208" s="187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484"/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5.75" customHeight="1">
      <c r="A209" s="422"/>
      <c r="B209" s="460"/>
      <c r="C209" s="451"/>
      <c r="D209" s="451"/>
      <c r="E209" s="362"/>
      <c r="F209" s="543"/>
      <c r="G209" s="266"/>
      <c r="H209" s="165"/>
      <c r="I209" s="155" t="s">
        <v>140</v>
      </c>
      <c r="J209" s="186"/>
      <c r="K209" s="186"/>
      <c r="L209" s="158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484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customHeight="1">
      <c r="A210" s="423"/>
      <c r="B210" s="546"/>
      <c r="C210" s="452"/>
      <c r="D210" s="452"/>
      <c r="E210" s="362"/>
      <c r="F210" s="544"/>
      <c r="G210" s="266"/>
      <c r="H210" s="165"/>
      <c r="I210" s="160" t="s">
        <v>26</v>
      </c>
      <c r="J210" s="161">
        <f t="shared" ref="J210:N210" si="60">SUM(J206:J209)</f>
        <v>110641</v>
      </c>
      <c r="K210" s="161">
        <f t="shared" si="60"/>
        <v>0</v>
      </c>
      <c r="L210" s="161">
        <f t="shared" si="60"/>
        <v>0</v>
      </c>
      <c r="M210" s="161">
        <f t="shared" si="60"/>
        <v>0</v>
      </c>
      <c r="N210" s="161">
        <f t="shared" si="60"/>
        <v>50000</v>
      </c>
      <c r="O210" s="161">
        <f>SUM(O206:O209)</f>
        <v>150000</v>
      </c>
      <c r="P210" s="161">
        <f t="shared" ref="P210:W210" si="61">SUM(P206:P209)</f>
        <v>0</v>
      </c>
      <c r="Q210" s="161">
        <f t="shared" si="61"/>
        <v>0</v>
      </c>
      <c r="R210" s="161">
        <f t="shared" si="61"/>
        <v>0</v>
      </c>
      <c r="S210" s="161">
        <f t="shared" si="61"/>
        <v>0</v>
      </c>
      <c r="T210" s="161">
        <f t="shared" si="61"/>
        <v>0</v>
      </c>
      <c r="U210" s="161">
        <f t="shared" si="61"/>
        <v>0</v>
      </c>
      <c r="V210" s="161">
        <f t="shared" si="61"/>
        <v>0</v>
      </c>
      <c r="W210" s="161">
        <f t="shared" si="61"/>
        <v>0</v>
      </c>
      <c r="X210" s="484"/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421">
        <v>8</v>
      </c>
      <c r="B211" s="376" t="s">
        <v>206</v>
      </c>
      <c r="C211" s="357">
        <v>2019</v>
      </c>
      <c r="D211" s="357">
        <v>2023</v>
      </c>
      <c r="E211" s="481" t="s">
        <v>27</v>
      </c>
      <c r="F211" s="385">
        <f>X211</f>
        <v>0</v>
      </c>
      <c r="G211" s="501" t="s">
        <v>119</v>
      </c>
      <c r="H211" s="86">
        <v>6050</v>
      </c>
      <c r="I211" s="60" t="s">
        <v>28</v>
      </c>
      <c r="J211" s="214">
        <v>239118</v>
      </c>
      <c r="K211" s="84">
        <v>320000</v>
      </c>
      <c r="L211" s="84"/>
      <c r="M211" s="84"/>
      <c r="N211" s="77"/>
      <c r="O211" s="85"/>
      <c r="P211" s="85"/>
      <c r="Q211" s="85"/>
      <c r="R211" s="85"/>
      <c r="S211" s="85"/>
      <c r="T211" s="85"/>
      <c r="U211" s="85"/>
      <c r="V211" s="85"/>
      <c r="W211" s="85"/>
      <c r="X211" s="468">
        <f>SUM(L215:R215)</f>
        <v>0</v>
      </c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3.5" hidden="1" customHeight="1">
      <c r="A212" s="422"/>
      <c r="B212" s="376"/>
      <c r="C212" s="357"/>
      <c r="D212" s="357"/>
      <c r="E212" s="481"/>
      <c r="F212" s="385"/>
      <c r="G212" s="501"/>
      <c r="H212" s="86"/>
      <c r="I212" s="60" t="s">
        <v>102</v>
      </c>
      <c r="J212" s="215">
        <v>120885</v>
      </c>
      <c r="K212" s="84">
        <v>133656</v>
      </c>
      <c r="L212" s="62"/>
      <c r="M212" s="62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468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3.5" hidden="1" customHeight="1">
      <c r="A213" s="422"/>
      <c r="B213" s="376"/>
      <c r="C213" s="357"/>
      <c r="D213" s="357"/>
      <c r="E213" s="481"/>
      <c r="F213" s="385"/>
      <c r="G213" s="501"/>
      <c r="H213" s="86"/>
      <c r="I213" s="60" t="s">
        <v>30</v>
      </c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468"/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3.5" hidden="1" customHeight="1">
      <c r="A214" s="422"/>
      <c r="B214" s="376"/>
      <c r="C214" s="357"/>
      <c r="D214" s="357"/>
      <c r="E214" s="481"/>
      <c r="F214" s="385"/>
      <c r="G214" s="501"/>
      <c r="H214" s="86"/>
      <c r="I214" s="60" t="s">
        <v>33</v>
      </c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468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2" hidden="1" customHeight="1">
      <c r="A215" s="423"/>
      <c r="B215" s="376"/>
      <c r="C215" s="357"/>
      <c r="D215" s="357"/>
      <c r="E215" s="481"/>
      <c r="F215" s="385"/>
      <c r="G215" s="501"/>
      <c r="H215" s="86"/>
      <c r="I215" s="64" t="s">
        <v>26</v>
      </c>
      <c r="J215" s="65">
        <f t="shared" ref="J215:P215" si="62">SUM(J211:J214)</f>
        <v>360003</v>
      </c>
      <c r="K215" s="65">
        <f t="shared" si="62"/>
        <v>453656</v>
      </c>
      <c r="L215" s="65">
        <f t="shared" si="62"/>
        <v>0</v>
      </c>
      <c r="M215" s="65">
        <f t="shared" si="62"/>
        <v>0</v>
      </c>
      <c r="N215" s="65">
        <f t="shared" si="62"/>
        <v>0</v>
      </c>
      <c r="O215" s="65">
        <f t="shared" si="62"/>
        <v>0</v>
      </c>
      <c r="P215" s="65">
        <f t="shared" si="62"/>
        <v>0</v>
      </c>
      <c r="Q215" s="65"/>
      <c r="R215" s="65"/>
      <c r="S215" s="65"/>
      <c r="T215" s="65"/>
      <c r="U215" s="65"/>
      <c r="V215" s="65"/>
      <c r="W215" s="65"/>
      <c r="X215" s="468"/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5" hidden="1" customHeight="1">
      <c r="A216" s="421">
        <v>5</v>
      </c>
      <c r="B216" s="376" t="s">
        <v>207</v>
      </c>
      <c r="C216" s="357">
        <v>2022</v>
      </c>
      <c r="D216" s="357">
        <v>2023</v>
      </c>
      <c r="E216" s="481" t="s">
        <v>27</v>
      </c>
      <c r="F216" s="385">
        <f>X216</f>
        <v>0</v>
      </c>
      <c r="G216" s="501" t="s">
        <v>119</v>
      </c>
      <c r="H216" s="86">
        <v>6050</v>
      </c>
      <c r="I216" s="61" t="s">
        <v>28</v>
      </c>
      <c r="J216" s="87">
        <v>239118</v>
      </c>
      <c r="K216" s="84">
        <v>320000</v>
      </c>
      <c r="L216" s="84"/>
      <c r="M216" s="84"/>
      <c r="N216" s="87"/>
      <c r="O216" s="84"/>
      <c r="P216" s="84"/>
      <c r="Q216" s="84"/>
      <c r="R216" s="84"/>
      <c r="S216" s="84"/>
      <c r="T216" s="84"/>
      <c r="U216" s="84"/>
      <c r="V216" s="84"/>
      <c r="W216" s="84"/>
      <c r="X216" s="468">
        <f>SUM(L220:R220)</f>
        <v>0</v>
      </c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5" hidden="1" customHeight="1">
      <c r="A217" s="422"/>
      <c r="B217" s="376"/>
      <c r="C217" s="357"/>
      <c r="D217" s="357"/>
      <c r="E217" s="481"/>
      <c r="F217" s="385"/>
      <c r="G217" s="501"/>
      <c r="H217" s="86"/>
      <c r="I217" s="61" t="s">
        <v>102</v>
      </c>
      <c r="J217" s="84">
        <v>120885</v>
      </c>
      <c r="K217" s="84">
        <v>133656</v>
      </c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468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5" hidden="1" customHeight="1">
      <c r="A218" s="422"/>
      <c r="B218" s="376"/>
      <c r="C218" s="357"/>
      <c r="D218" s="357"/>
      <c r="E218" s="481"/>
      <c r="F218" s="385"/>
      <c r="G218" s="501"/>
      <c r="H218" s="86"/>
      <c r="I218" s="61" t="s">
        <v>30</v>
      </c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468"/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7.25" hidden="1" customHeight="1">
      <c r="A219" s="422"/>
      <c r="B219" s="376"/>
      <c r="C219" s="357"/>
      <c r="D219" s="357"/>
      <c r="E219" s="481"/>
      <c r="F219" s="385"/>
      <c r="G219" s="501"/>
      <c r="H219" s="86">
        <v>6050</v>
      </c>
      <c r="I219" s="61" t="s">
        <v>180</v>
      </c>
      <c r="J219" s="62"/>
      <c r="K219" s="62"/>
      <c r="L219" s="62"/>
      <c r="M219" s="84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468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t="12.75" hidden="1" customHeight="1">
      <c r="A220" s="423"/>
      <c r="B220" s="376"/>
      <c r="C220" s="357"/>
      <c r="D220" s="357"/>
      <c r="E220" s="481"/>
      <c r="F220" s="385"/>
      <c r="G220" s="501"/>
      <c r="H220" s="86"/>
      <c r="I220" s="64" t="s">
        <v>26</v>
      </c>
      <c r="J220" s="65">
        <f t="shared" ref="J220:P220" si="63">SUM(J216:J219)</f>
        <v>360003</v>
      </c>
      <c r="K220" s="65">
        <f t="shared" si="63"/>
        <v>453656</v>
      </c>
      <c r="L220" s="65">
        <f t="shared" si="63"/>
        <v>0</v>
      </c>
      <c r="M220" s="65">
        <f t="shared" si="63"/>
        <v>0</v>
      </c>
      <c r="N220" s="65">
        <f t="shared" si="63"/>
        <v>0</v>
      </c>
      <c r="O220" s="65">
        <f t="shared" si="63"/>
        <v>0</v>
      </c>
      <c r="P220" s="65">
        <f t="shared" si="63"/>
        <v>0</v>
      </c>
      <c r="Q220" s="65"/>
      <c r="R220" s="65"/>
      <c r="S220" s="65"/>
      <c r="T220" s="65"/>
      <c r="U220" s="65"/>
      <c r="V220" s="65"/>
      <c r="W220" s="65"/>
      <c r="X220" s="468"/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t="18" hidden="1" customHeight="1">
      <c r="A221" s="353">
        <v>9</v>
      </c>
      <c r="B221" s="495" t="s">
        <v>156</v>
      </c>
      <c r="C221" s="433">
        <v>2018</v>
      </c>
      <c r="D221" s="449">
        <v>2021</v>
      </c>
      <c r="E221" s="363" t="s">
        <v>27</v>
      </c>
      <c r="F221" s="476">
        <v>0</v>
      </c>
      <c r="G221" s="513" t="s">
        <v>42</v>
      </c>
      <c r="H221" s="104">
        <v>6050</v>
      </c>
      <c r="I221" s="114" t="s">
        <v>28</v>
      </c>
      <c r="J221" s="139">
        <v>10839</v>
      </c>
      <c r="K221" s="94">
        <v>70000</v>
      </c>
      <c r="L221" s="94"/>
      <c r="M221" s="116"/>
      <c r="N221" s="116"/>
      <c r="O221" s="126"/>
      <c r="P221" s="126"/>
      <c r="Q221" s="126"/>
      <c r="R221" s="126"/>
      <c r="S221" s="126"/>
      <c r="T221" s="126"/>
      <c r="U221" s="126"/>
      <c r="V221" s="126"/>
      <c r="W221" s="126"/>
      <c r="X221" s="372">
        <f>SUM(L226:W226)</f>
        <v>0</v>
      </c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t="18" hidden="1" customHeight="1">
      <c r="A222" s="353"/>
      <c r="B222" s="495"/>
      <c r="C222" s="433"/>
      <c r="D222" s="449"/>
      <c r="E222" s="363"/>
      <c r="F222" s="476"/>
      <c r="G222" s="513"/>
      <c r="H222" s="91"/>
      <c r="I222" s="124" t="s">
        <v>28</v>
      </c>
      <c r="J222" s="127"/>
      <c r="K222" s="116"/>
      <c r="L222" s="116"/>
      <c r="M222" s="116"/>
      <c r="N222" s="116"/>
      <c r="O222" s="126"/>
      <c r="P222" s="126"/>
      <c r="Q222" s="126"/>
      <c r="R222" s="126"/>
      <c r="S222" s="126"/>
      <c r="T222" s="126"/>
      <c r="U222" s="126"/>
      <c r="V222" s="126"/>
      <c r="W222" s="126"/>
      <c r="X222" s="372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idden="1">
      <c r="A223" s="353"/>
      <c r="B223" s="495"/>
      <c r="C223" s="433"/>
      <c r="D223" s="449"/>
      <c r="E223" s="363"/>
      <c r="F223" s="476"/>
      <c r="G223" s="513"/>
      <c r="H223" s="91"/>
      <c r="I223" s="97" t="s">
        <v>31</v>
      </c>
      <c r="J223" s="122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372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53"/>
      <c r="B224" s="495"/>
      <c r="C224" s="433"/>
      <c r="D224" s="449"/>
      <c r="E224" s="363"/>
      <c r="F224" s="476"/>
      <c r="G224" s="513"/>
      <c r="H224" s="91"/>
      <c r="I224" s="97" t="s">
        <v>32</v>
      </c>
      <c r="J224" s="122"/>
      <c r="K224" s="125">
        <v>5000</v>
      </c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372"/>
      <c r="Y224" s="40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idden="1">
      <c r="A225" s="353"/>
      <c r="B225" s="495"/>
      <c r="C225" s="433"/>
      <c r="D225" s="449"/>
      <c r="E225" s="363"/>
      <c r="F225" s="476"/>
      <c r="G225" s="513"/>
      <c r="H225" s="91"/>
      <c r="I225" s="92" t="s">
        <v>103</v>
      </c>
      <c r="J225" s="123"/>
      <c r="K225" s="95">
        <v>15024</v>
      </c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372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t="13.5" hidden="1" customHeight="1">
      <c r="A226" s="353"/>
      <c r="B226" s="495"/>
      <c r="C226" s="433"/>
      <c r="D226" s="449"/>
      <c r="E226" s="363"/>
      <c r="F226" s="476"/>
      <c r="G226" s="513"/>
      <c r="H226" s="91"/>
      <c r="I226" s="101" t="s">
        <v>26</v>
      </c>
      <c r="J226" s="102">
        <f>SUM(J221:J225)</f>
        <v>10839</v>
      </c>
      <c r="K226" s="102">
        <f t="shared" ref="K226:P226" si="64">SUM(K221:K225)</f>
        <v>90024</v>
      </c>
      <c r="L226" s="102">
        <f t="shared" si="64"/>
        <v>0</v>
      </c>
      <c r="M226" s="120">
        <f t="shared" si="64"/>
        <v>0</v>
      </c>
      <c r="N226" s="120">
        <f t="shared" si="64"/>
        <v>0</v>
      </c>
      <c r="O226" s="121">
        <f t="shared" si="64"/>
        <v>0</v>
      </c>
      <c r="P226" s="121">
        <f t="shared" si="64"/>
        <v>0</v>
      </c>
      <c r="Q226" s="121"/>
      <c r="R226" s="121"/>
      <c r="S226" s="121"/>
      <c r="T226" s="121"/>
      <c r="U226" s="121"/>
      <c r="V226" s="121"/>
      <c r="W226" s="121"/>
      <c r="X226" s="372"/>
      <c r="Y226" s="40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53">
        <v>9</v>
      </c>
      <c r="B227" s="376" t="s">
        <v>78</v>
      </c>
      <c r="C227" s="433">
        <v>2016</v>
      </c>
      <c r="D227" s="433">
        <v>2019</v>
      </c>
      <c r="E227" s="413" t="s">
        <v>27</v>
      </c>
      <c r="F227" s="414">
        <v>0</v>
      </c>
      <c r="G227" s="418">
        <v>60014</v>
      </c>
      <c r="H227" s="104">
        <v>6300</v>
      </c>
      <c r="I227" s="114" t="s">
        <v>28</v>
      </c>
      <c r="J227" s="139">
        <v>0</v>
      </c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72">
        <f>SUM(J231:P231)</f>
        <v>0</v>
      </c>
      <c r="Y227" s="141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idden="1">
      <c r="A228" s="353"/>
      <c r="B228" s="376"/>
      <c r="C228" s="433"/>
      <c r="D228" s="433"/>
      <c r="E228" s="413"/>
      <c r="F228" s="414"/>
      <c r="G228" s="418"/>
      <c r="H228" s="104"/>
      <c r="I228" s="114" t="s">
        <v>31</v>
      </c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372"/>
      <c r="Y228" s="40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idden="1">
      <c r="A229" s="353"/>
      <c r="B229" s="376"/>
      <c r="C229" s="433"/>
      <c r="D229" s="433"/>
      <c r="E229" s="413"/>
      <c r="F229" s="414"/>
      <c r="G229" s="418"/>
      <c r="H229" s="104"/>
      <c r="I229" s="114" t="s">
        <v>30</v>
      </c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372"/>
      <c r="Y229" s="40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idden="1">
      <c r="A230" s="353"/>
      <c r="B230" s="376"/>
      <c r="C230" s="433"/>
      <c r="D230" s="433"/>
      <c r="E230" s="413"/>
      <c r="F230" s="414"/>
      <c r="G230" s="418"/>
      <c r="H230" s="104"/>
      <c r="I230" s="114" t="s">
        <v>33</v>
      </c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372"/>
      <c r="Y230" s="40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4.5" hidden="1" customHeight="1">
      <c r="A231" s="353"/>
      <c r="B231" s="376"/>
      <c r="C231" s="433"/>
      <c r="D231" s="433"/>
      <c r="E231" s="413"/>
      <c r="F231" s="414"/>
      <c r="G231" s="418"/>
      <c r="H231" s="104"/>
      <c r="I231" s="101" t="s">
        <v>26</v>
      </c>
      <c r="J231" s="102">
        <f t="shared" ref="J231" si="65">SUM(J227:J230)</f>
        <v>0</v>
      </c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372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53">
        <v>10</v>
      </c>
      <c r="B232" s="376" t="s">
        <v>108</v>
      </c>
      <c r="C232" s="449">
        <v>2019</v>
      </c>
      <c r="D232" s="449">
        <v>2020</v>
      </c>
      <c r="E232" s="363" t="s">
        <v>27</v>
      </c>
      <c r="F232" s="549"/>
      <c r="G232" s="380">
        <v>60014</v>
      </c>
      <c r="H232" s="91">
        <v>6300</v>
      </c>
      <c r="I232" s="97" t="s">
        <v>28</v>
      </c>
      <c r="J232" s="94">
        <v>0</v>
      </c>
      <c r="K232" s="93"/>
      <c r="L232" s="143"/>
      <c r="M232" s="94">
        <v>0</v>
      </c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476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5" hidden="1" customHeight="1">
      <c r="A233" s="353"/>
      <c r="B233" s="376"/>
      <c r="C233" s="449"/>
      <c r="D233" s="449"/>
      <c r="E233" s="363"/>
      <c r="F233" s="549"/>
      <c r="G233" s="380"/>
      <c r="H233" s="91"/>
      <c r="I233" s="97" t="s">
        <v>31</v>
      </c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476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53"/>
      <c r="B234" s="376"/>
      <c r="C234" s="449"/>
      <c r="D234" s="449"/>
      <c r="E234" s="363"/>
      <c r="F234" s="549"/>
      <c r="G234" s="380"/>
      <c r="H234" s="91"/>
      <c r="I234" s="97" t="s">
        <v>30</v>
      </c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476"/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5" hidden="1" customHeight="1">
      <c r="A235" s="353"/>
      <c r="B235" s="376"/>
      <c r="C235" s="449"/>
      <c r="D235" s="449"/>
      <c r="E235" s="363"/>
      <c r="F235" s="549"/>
      <c r="G235" s="380"/>
      <c r="H235" s="91"/>
      <c r="I235" s="97" t="s">
        <v>79</v>
      </c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476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7.25" hidden="1" customHeight="1">
      <c r="A236" s="353"/>
      <c r="B236" s="376"/>
      <c r="C236" s="449"/>
      <c r="D236" s="449"/>
      <c r="E236" s="363"/>
      <c r="F236" s="549"/>
      <c r="G236" s="380"/>
      <c r="H236" s="91"/>
      <c r="I236" s="101" t="s">
        <v>26</v>
      </c>
      <c r="J236" s="102">
        <f t="shared" ref="J236:M236" si="66">SUM(J232:J235)</f>
        <v>0</v>
      </c>
      <c r="K236" s="102">
        <f t="shared" si="66"/>
        <v>0</v>
      </c>
      <c r="L236" s="102">
        <f t="shared" si="66"/>
        <v>0</v>
      </c>
      <c r="M236" s="102">
        <f t="shared" si="66"/>
        <v>0</v>
      </c>
      <c r="N236" s="102">
        <f>SUM(N232:N235)</f>
        <v>0</v>
      </c>
      <c r="O236" s="102">
        <f>SUM(O232:O235)</f>
        <v>0</v>
      </c>
      <c r="P236" s="102">
        <f>SUM(P232:P235)</f>
        <v>0</v>
      </c>
      <c r="Q236" s="102"/>
      <c r="R236" s="102"/>
      <c r="S236" s="102"/>
      <c r="T236" s="102"/>
      <c r="U236" s="102"/>
      <c r="V236" s="102"/>
      <c r="W236" s="102"/>
      <c r="X236" s="476"/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421">
        <v>6</v>
      </c>
      <c r="B237" s="538" t="s">
        <v>201</v>
      </c>
      <c r="C237" s="450">
        <v>2022</v>
      </c>
      <c r="D237" s="450">
        <v>2023</v>
      </c>
      <c r="E237" s="362" t="s">
        <v>27</v>
      </c>
      <c r="F237" s="542">
        <f>0+X237</f>
        <v>0</v>
      </c>
      <c r="G237" s="267" t="s">
        <v>153</v>
      </c>
      <c r="H237" s="165">
        <v>6050</v>
      </c>
      <c r="I237" s="166" t="s">
        <v>28</v>
      </c>
      <c r="J237" s="164">
        <v>110641</v>
      </c>
      <c r="K237" s="156">
        <f>50000-50000</f>
        <v>0</v>
      </c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484">
        <f>SUM(L241:W241)</f>
        <v>0</v>
      </c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5" hidden="1" customHeight="1">
      <c r="A238" s="422"/>
      <c r="B238" s="539"/>
      <c r="C238" s="451"/>
      <c r="D238" s="451"/>
      <c r="E238" s="362"/>
      <c r="F238" s="543"/>
      <c r="G238" s="267" t="s">
        <v>154</v>
      </c>
      <c r="H238" s="165">
        <v>6050</v>
      </c>
      <c r="I238" s="166" t="s">
        <v>28</v>
      </c>
      <c r="J238" s="187"/>
      <c r="K238" s="187"/>
      <c r="L238" s="156"/>
      <c r="M238" s="156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484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6.5" hidden="1" customHeight="1">
      <c r="A239" s="422"/>
      <c r="B239" s="539"/>
      <c r="C239" s="451"/>
      <c r="D239" s="451"/>
      <c r="E239" s="362"/>
      <c r="F239" s="543"/>
      <c r="G239" s="267"/>
      <c r="H239" s="165"/>
      <c r="I239" s="166" t="s">
        <v>179</v>
      </c>
      <c r="J239" s="187"/>
      <c r="K239" s="187"/>
      <c r="L239" s="187"/>
      <c r="M239" s="156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484"/>
      <c r="Y239" s="142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5" hidden="1" customHeight="1">
      <c r="A240" s="422"/>
      <c r="B240" s="539"/>
      <c r="C240" s="451"/>
      <c r="D240" s="451"/>
      <c r="E240" s="362"/>
      <c r="F240" s="543"/>
      <c r="G240" s="267" t="s">
        <v>154</v>
      </c>
      <c r="H240" s="165">
        <v>6370</v>
      </c>
      <c r="I240" s="166" t="s">
        <v>179</v>
      </c>
      <c r="J240" s="187"/>
      <c r="K240" s="187"/>
      <c r="L240" s="156"/>
      <c r="M240" s="156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484"/>
      <c r="Y240" s="142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3.5" hidden="1" customHeight="1">
      <c r="A241" s="423"/>
      <c r="B241" s="540"/>
      <c r="C241" s="452"/>
      <c r="D241" s="452"/>
      <c r="E241" s="362"/>
      <c r="F241" s="544"/>
      <c r="G241" s="267"/>
      <c r="H241" s="165"/>
      <c r="I241" s="160" t="s">
        <v>26</v>
      </c>
      <c r="J241" s="161">
        <f t="shared" ref="J241:N241" si="67">SUM(J237:J240)</f>
        <v>110641</v>
      </c>
      <c r="K241" s="161">
        <f t="shared" si="67"/>
        <v>0</v>
      </c>
      <c r="L241" s="161">
        <f t="shared" si="67"/>
        <v>0</v>
      </c>
      <c r="M241" s="161">
        <f t="shared" si="67"/>
        <v>0</v>
      </c>
      <c r="N241" s="161">
        <f t="shared" si="67"/>
        <v>0</v>
      </c>
      <c r="O241" s="161">
        <f>SUM(O237:O240)</f>
        <v>0</v>
      </c>
      <c r="P241" s="161">
        <f t="shared" ref="P241:W241" si="68">SUM(P237:P240)</f>
        <v>0</v>
      </c>
      <c r="Q241" s="161">
        <f t="shared" si="68"/>
        <v>0</v>
      </c>
      <c r="R241" s="161">
        <f t="shared" si="68"/>
        <v>0</v>
      </c>
      <c r="S241" s="161">
        <f t="shared" si="68"/>
        <v>0</v>
      </c>
      <c r="T241" s="161">
        <f t="shared" si="68"/>
        <v>0</v>
      </c>
      <c r="U241" s="161">
        <f t="shared" si="68"/>
        <v>0</v>
      </c>
      <c r="V241" s="161">
        <f t="shared" si="68"/>
        <v>0</v>
      </c>
      <c r="W241" s="161">
        <f t="shared" si="68"/>
        <v>0</v>
      </c>
      <c r="X241" s="484"/>
      <c r="Y241" s="142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2.75" hidden="1" customHeight="1">
      <c r="A242" s="353">
        <v>5</v>
      </c>
      <c r="B242" s="376"/>
      <c r="C242" s="375">
        <v>2007</v>
      </c>
      <c r="D242" s="375">
        <v>2026</v>
      </c>
      <c r="E242" s="472" t="s">
        <v>27</v>
      </c>
      <c r="F242" s="419">
        <f>X242</f>
        <v>0</v>
      </c>
      <c r="G242" s="471" t="s">
        <v>49</v>
      </c>
      <c r="H242" s="170">
        <v>6050</v>
      </c>
      <c r="I242" s="155" t="s">
        <v>28</v>
      </c>
      <c r="J242" s="164">
        <v>683584</v>
      </c>
      <c r="K242" s="164">
        <v>26353</v>
      </c>
      <c r="L242" s="156"/>
      <c r="M242" s="156"/>
      <c r="N242" s="158"/>
      <c r="O242" s="123"/>
      <c r="P242" s="295"/>
      <c r="Q242" s="185"/>
      <c r="R242" s="185"/>
      <c r="S242" s="185"/>
      <c r="T242" s="185"/>
      <c r="U242" s="185"/>
      <c r="V242" s="185"/>
      <c r="W242" s="185"/>
      <c r="X242" s="366">
        <f>SUM(L246:W246)</f>
        <v>0</v>
      </c>
      <c r="Y242" s="141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12.75" hidden="1" customHeight="1">
      <c r="A243" s="353"/>
      <c r="B243" s="376"/>
      <c r="C243" s="375"/>
      <c r="D243" s="375"/>
      <c r="E243" s="472"/>
      <c r="F243" s="419"/>
      <c r="G243" s="471"/>
      <c r="H243" s="170"/>
      <c r="I243" s="155" t="s">
        <v>31</v>
      </c>
      <c r="J243" s="157"/>
      <c r="K243" s="157"/>
      <c r="L243" s="157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366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2.75" hidden="1" customHeight="1">
      <c r="A244" s="353"/>
      <c r="B244" s="376"/>
      <c r="C244" s="375"/>
      <c r="D244" s="375"/>
      <c r="E244" s="472"/>
      <c r="F244" s="419"/>
      <c r="G244" s="471"/>
      <c r="H244" s="170"/>
      <c r="I244" s="155" t="s">
        <v>30</v>
      </c>
      <c r="J244" s="157"/>
      <c r="K244" s="157"/>
      <c r="L244" s="157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  <c r="X244" s="366"/>
      <c r="Y244" s="40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15" hidden="1" customHeight="1">
      <c r="A245" s="353"/>
      <c r="B245" s="376"/>
      <c r="C245" s="375"/>
      <c r="D245" s="375"/>
      <c r="E245" s="472"/>
      <c r="F245" s="419"/>
      <c r="G245" s="471"/>
      <c r="H245" s="170"/>
      <c r="I245" s="155" t="s">
        <v>50</v>
      </c>
      <c r="J245" s="157"/>
      <c r="K245" s="157"/>
      <c r="L245" s="157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366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5.25" hidden="1" customHeight="1">
      <c r="A246" s="353"/>
      <c r="B246" s="376"/>
      <c r="C246" s="375"/>
      <c r="D246" s="375"/>
      <c r="E246" s="472"/>
      <c r="F246" s="419"/>
      <c r="G246" s="471"/>
      <c r="H246" s="170"/>
      <c r="I246" s="216" t="s">
        <v>26</v>
      </c>
      <c r="J246" s="217">
        <f t="shared" ref="J246:P246" si="69">SUM(J242:J245)</f>
        <v>683584</v>
      </c>
      <c r="K246" s="161">
        <f t="shared" si="69"/>
        <v>26353</v>
      </c>
      <c r="L246" s="161">
        <f t="shared" si="69"/>
        <v>0</v>
      </c>
      <c r="M246" s="161">
        <f t="shared" si="69"/>
        <v>0</v>
      </c>
      <c r="N246" s="162">
        <f>SUM(N242:N245)</f>
        <v>0</v>
      </c>
      <c r="O246" s="162">
        <f t="shared" si="69"/>
        <v>0</v>
      </c>
      <c r="P246" s="162">
        <f t="shared" si="69"/>
        <v>0</v>
      </c>
      <c r="Q246" s="162"/>
      <c r="R246" s="162"/>
      <c r="S246" s="162"/>
      <c r="T246" s="162"/>
      <c r="U246" s="162"/>
      <c r="V246" s="162"/>
      <c r="W246" s="162"/>
      <c r="X246" s="366"/>
      <c r="Y246" s="40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53">
        <v>7</v>
      </c>
      <c r="B247" s="373" t="s">
        <v>214</v>
      </c>
      <c r="C247" s="375">
        <v>2021</v>
      </c>
      <c r="D247" s="375">
        <v>2030</v>
      </c>
      <c r="E247" s="362" t="s">
        <v>260</v>
      </c>
      <c r="F247" s="419">
        <f>36440+X247</f>
        <v>2336440</v>
      </c>
      <c r="G247" s="381">
        <v>60016</v>
      </c>
      <c r="H247" s="170">
        <v>6050</v>
      </c>
      <c r="I247" s="155" t="s">
        <v>28</v>
      </c>
      <c r="J247" s="164">
        <v>44743</v>
      </c>
      <c r="K247" s="167"/>
      <c r="L247" s="164">
        <v>0</v>
      </c>
      <c r="M247" s="268"/>
      <c r="N247" s="156"/>
      <c r="O247" s="156"/>
      <c r="P247" s="156">
        <v>1000000</v>
      </c>
      <c r="Q247" s="156">
        <v>320000</v>
      </c>
      <c r="R247" s="164">
        <v>280000</v>
      </c>
      <c r="S247" s="164">
        <v>700000</v>
      </c>
      <c r="T247" s="184"/>
      <c r="U247" s="209"/>
      <c r="V247" s="209"/>
      <c r="W247" s="209"/>
      <c r="X247" s="366">
        <f>SUM(M251:W251)</f>
        <v>2300000</v>
      </c>
      <c r="Y247" s="141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53"/>
      <c r="B248" s="373"/>
      <c r="C248" s="375"/>
      <c r="D248" s="375"/>
      <c r="E248" s="362"/>
      <c r="F248" s="419"/>
      <c r="G248" s="381"/>
      <c r="H248" s="170"/>
      <c r="I248" s="155" t="s">
        <v>31</v>
      </c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366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53"/>
      <c r="B249" s="373"/>
      <c r="C249" s="375"/>
      <c r="D249" s="375"/>
      <c r="E249" s="362"/>
      <c r="F249" s="419"/>
      <c r="G249" s="381"/>
      <c r="H249" s="170"/>
      <c r="I249" s="155" t="s">
        <v>30</v>
      </c>
      <c r="J249" s="209"/>
      <c r="K249" s="209"/>
      <c r="L249" s="209"/>
      <c r="M249" s="209"/>
      <c r="N249" s="209"/>
      <c r="O249" s="209"/>
      <c r="P249" s="209"/>
      <c r="Q249" s="209"/>
      <c r="R249" s="157"/>
      <c r="S249" s="157"/>
      <c r="T249" s="209"/>
      <c r="U249" s="209"/>
      <c r="V249" s="209"/>
      <c r="W249" s="209"/>
      <c r="X249" s="366"/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1.25" customHeight="1">
      <c r="A250" s="353"/>
      <c r="B250" s="373"/>
      <c r="C250" s="375"/>
      <c r="D250" s="375"/>
      <c r="E250" s="362"/>
      <c r="F250" s="419"/>
      <c r="G250" s="381"/>
      <c r="H250" s="170"/>
      <c r="I250" s="155" t="s">
        <v>79</v>
      </c>
      <c r="J250" s="209"/>
      <c r="K250" s="209"/>
      <c r="L250" s="209"/>
      <c r="M250" s="209"/>
      <c r="N250" s="218"/>
      <c r="O250" s="218"/>
      <c r="P250" s="218"/>
      <c r="Q250" s="218"/>
      <c r="R250" s="167"/>
      <c r="S250" s="167"/>
      <c r="T250" s="218"/>
      <c r="U250" s="218"/>
      <c r="V250" s="218"/>
      <c r="W250" s="218"/>
      <c r="X250" s="366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53"/>
      <c r="B251" s="373"/>
      <c r="C251" s="375"/>
      <c r="D251" s="375"/>
      <c r="E251" s="362"/>
      <c r="F251" s="419"/>
      <c r="G251" s="381"/>
      <c r="H251" s="170"/>
      <c r="I251" s="160" t="s">
        <v>26</v>
      </c>
      <c r="J251" s="161">
        <f t="shared" ref="J251:M251" si="70">SUM(J247:J250)</f>
        <v>44743</v>
      </c>
      <c r="K251" s="161">
        <f t="shared" si="70"/>
        <v>0</v>
      </c>
      <c r="L251" s="161">
        <f t="shared" si="70"/>
        <v>0</v>
      </c>
      <c r="M251" s="161">
        <f t="shared" si="70"/>
        <v>0</v>
      </c>
      <c r="N251" s="161">
        <f>SUM(N247:N249)</f>
        <v>0</v>
      </c>
      <c r="O251" s="161">
        <f>SUM(O247:O249)</f>
        <v>0</v>
      </c>
      <c r="P251" s="161">
        <f>SUM(P247:P249)</f>
        <v>1000000</v>
      </c>
      <c r="Q251" s="161">
        <f>SUM(Q247:Q249)</f>
        <v>320000</v>
      </c>
      <c r="R251" s="161">
        <f t="shared" ref="R251:S251" si="71">SUM(R247:R249)</f>
        <v>280000</v>
      </c>
      <c r="S251" s="161">
        <f t="shared" si="71"/>
        <v>700000</v>
      </c>
      <c r="T251" s="161"/>
      <c r="U251" s="161"/>
      <c r="V251" s="161"/>
      <c r="W251" s="161"/>
      <c r="X251" s="366"/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1.25" customHeight="1">
      <c r="A252" s="353">
        <v>8</v>
      </c>
      <c r="B252" s="373" t="s">
        <v>211</v>
      </c>
      <c r="C252" s="375">
        <v>2023</v>
      </c>
      <c r="D252" s="438">
        <v>2025</v>
      </c>
      <c r="E252" s="362" t="s">
        <v>260</v>
      </c>
      <c r="F252" s="419">
        <f>X252+57825</f>
        <v>1619832</v>
      </c>
      <c r="G252" s="381">
        <v>60016</v>
      </c>
      <c r="H252" s="170">
        <v>6050</v>
      </c>
      <c r="I252" s="155" t="s">
        <v>28</v>
      </c>
      <c r="J252" s="164">
        <f>403998</f>
        <v>403998</v>
      </c>
      <c r="K252" s="167"/>
      <c r="L252" s="164"/>
      <c r="M252" s="324"/>
      <c r="N252" s="157">
        <v>0</v>
      </c>
      <c r="O252" s="241"/>
      <c r="P252" s="164"/>
      <c r="Q252" s="157"/>
      <c r="R252" s="157"/>
      <c r="S252" s="157"/>
      <c r="T252" s="157"/>
      <c r="U252" s="157"/>
      <c r="V252" s="157"/>
      <c r="W252" s="157"/>
      <c r="X252" s="366">
        <f>SUM(L256:W256)</f>
        <v>1562007</v>
      </c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5.75" customHeight="1">
      <c r="A253" s="353"/>
      <c r="B253" s="373"/>
      <c r="C253" s="375"/>
      <c r="D253" s="438"/>
      <c r="E253" s="362"/>
      <c r="F253" s="419"/>
      <c r="G253" s="381"/>
      <c r="H253" s="170">
        <v>6370</v>
      </c>
      <c r="I253" s="155" t="s">
        <v>179</v>
      </c>
      <c r="J253" s="158"/>
      <c r="K253" s="158"/>
      <c r="L253" s="158"/>
      <c r="M253" s="157"/>
      <c r="N253" s="157">
        <v>1562007</v>
      </c>
      <c r="O253" s="158"/>
      <c r="P253" s="158"/>
      <c r="Q253" s="158"/>
      <c r="R253" s="158"/>
      <c r="S253" s="158"/>
      <c r="T253" s="158"/>
      <c r="U253" s="158"/>
      <c r="V253" s="158"/>
      <c r="W253" s="158"/>
      <c r="X253" s="366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53"/>
      <c r="B254" s="373"/>
      <c r="C254" s="375"/>
      <c r="D254" s="438"/>
      <c r="E254" s="362"/>
      <c r="F254" s="419"/>
      <c r="G254" s="381"/>
      <c r="H254" s="170"/>
      <c r="I254" s="155" t="s">
        <v>30</v>
      </c>
      <c r="J254" s="158"/>
      <c r="K254" s="158"/>
      <c r="L254" s="158"/>
      <c r="M254" s="157"/>
      <c r="N254" s="157"/>
      <c r="O254" s="158"/>
      <c r="P254" s="158"/>
      <c r="Q254" s="158"/>
      <c r="R254" s="158"/>
      <c r="S254" s="158"/>
      <c r="T254" s="158"/>
      <c r="U254" s="158"/>
      <c r="V254" s="158"/>
      <c r="W254" s="158"/>
      <c r="X254" s="366"/>
      <c r="Y254" s="40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53"/>
      <c r="B255" s="373"/>
      <c r="C255" s="375"/>
      <c r="D255" s="438"/>
      <c r="E255" s="362"/>
      <c r="F255" s="419"/>
      <c r="G255" s="381"/>
      <c r="H255" s="170"/>
      <c r="I255" s="155" t="s">
        <v>33</v>
      </c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366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53"/>
      <c r="B256" s="373"/>
      <c r="C256" s="375"/>
      <c r="D256" s="438"/>
      <c r="E256" s="362"/>
      <c r="F256" s="419"/>
      <c r="G256" s="381"/>
      <c r="H256" s="170"/>
      <c r="I256" s="160" t="s">
        <v>26</v>
      </c>
      <c r="J256" s="161">
        <f>SUM(J252:J255)</f>
        <v>403998</v>
      </c>
      <c r="K256" s="161">
        <f t="shared" ref="K256" si="72">SUM(K252:K255)</f>
        <v>0</v>
      </c>
      <c r="L256" s="161">
        <f>SUM(L252:L255)</f>
        <v>0</v>
      </c>
      <c r="M256" s="161">
        <f t="shared" ref="M256:N256" si="73">SUM(M252:M255)</f>
        <v>0</v>
      </c>
      <c r="N256" s="161">
        <f t="shared" si="73"/>
        <v>1562007</v>
      </c>
      <c r="O256" s="162">
        <f>SUM(O252:O255)</f>
        <v>0</v>
      </c>
      <c r="P256" s="162">
        <f>SUM(P252:P255)</f>
        <v>0</v>
      </c>
      <c r="Q256" s="162"/>
      <c r="R256" s="162"/>
      <c r="S256" s="162"/>
      <c r="T256" s="162"/>
      <c r="U256" s="162"/>
      <c r="V256" s="162"/>
      <c r="W256" s="162"/>
      <c r="X256" s="366"/>
      <c r="Y256" s="40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53">
        <v>9</v>
      </c>
      <c r="B257" s="373" t="s">
        <v>213</v>
      </c>
      <c r="C257" s="375">
        <v>2024</v>
      </c>
      <c r="D257" s="375">
        <v>2027</v>
      </c>
      <c r="E257" s="362" t="s">
        <v>260</v>
      </c>
      <c r="F257" s="419">
        <f>X257</f>
        <v>835000</v>
      </c>
      <c r="G257" s="381">
        <v>60016</v>
      </c>
      <c r="H257" s="170">
        <v>6050</v>
      </c>
      <c r="I257" s="155" t="s">
        <v>28</v>
      </c>
      <c r="J257" s="164">
        <f>403998</f>
        <v>403998</v>
      </c>
      <c r="K257" s="167"/>
      <c r="L257" s="164"/>
      <c r="M257" s="157"/>
      <c r="N257" s="164">
        <v>35000</v>
      </c>
      <c r="O257" s="164">
        <v>100000</v>
      </c>
      <c r="P257" s="164">
        <v>700000</v>
      </c>
      <c r="Q257" s="157"/>
      <c r="R257" s="157"/>
      <c r="S257" s="157"/>
      <c r="T257" s="157"/>
      <c r="U257" s="157"/>
      <c r="V257" s="157"/>
      <c r="W257" s="157"/>
      <c r="X257" s="366">
        <f>SUM(L261:W261)</f>
        <v>835000</v>
      </c>
      <c r="Y257" s="141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53"/>
      <c r="B258" s="373"/>
      <c r="C258" s="375"/>
      <c r="D258" s="375"/>
      <c r="E258" s="362"/>
      <c r="F258" s="419"/>
      <c r="G258" s="381"/>
      <c r="H258" s="170"/>
      <c r="I258" s="155" t="s">
        <v>31</v>
      </c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366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1.25" customHeight="1">
      <c r="A259" s="353"/>
      <c r="B259" s="373"/>
      <c r="C259" s="375"/>
      <c r="D259" s="375"/>
      <c r="E259" s="362"/>
      <c r="F259" s="419"/>
      <c r="G259" s="381"/>
      <c r="H259" s="170"/>
      <c r="I259" s="155" t="s">
        <v>30</v>
      </c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366"/>
      <c r="Y259" s="40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1.25" customHeight="1">
      <c r="A260" s="353"/>
      <c r="B260" s="373"/>
      <c r="C260" s="375"/>
      <c r="D260" s="375"/>
      <c r="E260" s="362"/>
      <c r="F260" s="419"/>
      <c r="G260" s="381"/>
      <c r="H260" s="170"/>
      <c r="I260" s="155" t="s">
        <v>33</v>
      </c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366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53"/>
      <c r="B261" s="373"/>
      <c r="C261" s="375"/>
      <c r="D261" s="375"/>
      <c r="E261" s="362"/>
      <c r="F261" s="419"/>
      <c r="G261" s="381"/>
      <c r="H261" s="170"/>
      <c r="I261" s="160" t="s">
        <v>26</v>
      </c>
      <c r="J261" s="161">
        <f>SUM(J257:J260)</f>
        <v>403998</v>
      </c>
      <c r="K261" s="161">
        <f t="shared" ref="K261:N261" si="74">SUM(K257:K260)</f>
        <v>0</v>
      </c>
      <c r="L261" s="161">
        <f>SUM(L257:L260)</f>
        <v>0</v>
      </c>
      <c r="M261" s="161">
        <f t="shared" si="74"/>
        <v>0</v>
      </c>
      <c r="N261" s="161">
        <f t="shared" si="74"/>
        <v>35000</v>
      </c>
      <c r="O261" s="162">
        <f>SUM(O257:O260)</f>
        <v>100000</v>
      </c>
      <c r="P261" s="162">
        <f>SUM(P257:P260)</f>
        <v>700000</v>
      </c>
      <c r="Q261" s="162"/>
      <c r="R261" s="162"/>
      <c r="S261" s="162"/>
      <c r="T261" s="162"/>
      <c r="U261" s="162"/>
      <c r="V261" s="162"/>
      <c r="W261" s="162"/>
      <c r="X261" s="366"/>
      <c r="Y261" s="40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53">
        <v>10</v>
      </c>
      <c r="B262" s="525" t="s">
        <v>232</v>
      </c>
      <c r="C262" s="438">
        <v>2008</v>
      </c>
      <c r="D262" s="370">
        <v>2032</v>
      </c>
      <c r="E262" s="362" t="s">
        <v>260</v>
      </c>
      <c r="F262" s="419">
        <f>3664266+X262</f>
        <v>4274266</v>
      </c>
      <c r="G262" s="381">
        <v>60016</v>
      </c>
      <c r="H262" s="154">
        <v>6050</v>
      </c>
      <c r="I262" s="155" t="s">
        <v>28</v>
      </c>
      <c r="J262" s="164">
        <v>330510</v>
      </c>
      <c r="K262" s="164">
        <v>45000</v>
      </c>
      <c r="L262" s="164"/>
      <c r="M262" s="156"/>
      <c r="O262" s="156"/>
      <c r="P262" s="188"/>
      <c r="Q262" s="188"/>
      <c r="R262" s="188"/>
      <c r="S262" s="188">
        <v>0</v>
      </c>
      <c r="T262" s="188">
        <v>260000</v>
      </c>
      <c r="U262" s="188">
        <v>350000</v>
      </c>
      <c r="V262" s="188"/>
      <c r="W262" s="188"/>
      <c r="X262" s="366">
        <f>SUM(L266:W266)</f>
        <v>610000</v>
      </c>
      <c r="Y262" s="141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53"/>
      <c r="B263" s="525"/>
      <c r="C263" s="438"/>
      <c r="D263" s="370"/>
      <c r="E263" s="362"/>
      <c r="F263" s="419"/>
      <c r="G263" s="381"/>
      <c r="H263" s="154"/>
      <c r="I263" s="155" t="s">
        <v>31</v>
      </c>
      <c r="J263" s="164"/>
      <c r="K263" s="164"/>
      <c r="L263" s="164"/>
      <c r="M263" s="156"/>
      <c r="N263" s="156"/>
      <c r="O263" s="156"/>
      <c r="P263" s="188"/>
      <c r="Q263" s="188"/>
      <c r="R263" s="188"/>
      <c r="S263" s="188"/>
      <c r="T263" s="188"/>
      <c r="U263" s="188"/>
      <c r="V263" s="188"/>
      <c r="W263" s="188"/>
      <c r="X263" s="366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5" customHeight="1">
      <c r="A264" s="353"/>
      <c r="B264" s="525"/>
      <c r="C264" s="438"/>
      <c r="D264" s="370"/>
      <c r="E264" s="362"/>
      <c r="F264" s="419"/>
      <c r="G264" s="381"/>
      <c r="H264" s="154"/>
      <c r="I264" s="155" t="s">
        <v>30</v>
      </c>
      <c r="J264" s="158"/>
      <c r="K264" s="158"/>
      <c r="L264" s="158"/>
      <c r="M264" s="158"/>
      <c r="N264" s="158"/>
      <c r="O264" s="158"/>
      <c r="P264" s="219"/>
      <c r="Q264" s="219"/>
      <c r="R264" s="219"/>
      <c r="S264" s="219"/>
      <c r="T264" s="219"/>
      <c r="U264" s="219"/>
      <c r="V264" s="219"/>
      <c r="W264" s="219"/>
      <c r="X264" s="366"/>
      <c r="Y264" s="40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5" customHeight="1">
      <c r="A265" s="353"/>
      <c r="B265" s="525"/>
      <c r="C265" s="438"/>
      <c r="D265" s="370"/>
      <c r="E265" s="362"/>
      <c r="F265" s="419"/>
      <c r="G265" s="381"/>
      <c r="H265" s="154"/>
      <c r="I265" s="166" t="s">
        <v>121</v>
      </c>
      <c r="J265" s="156"/>
      <c r="K265" s="156"/>
      <c r="L265" s="156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366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8.75" customHeight="1">
      <c r="A266" s="353"/>
      <c r="B266" s="525"/>
      <c r="C266" s="438"/>
      <c r="D266" s="370"/>
      <c r="E266" s="362"/>
      <c r="F266" s="419"/>
      <c r="G266" s="381"/>
      <c r="H266" s="154"/>
      <c r="I266" s="160" t="s">
        <v>26</v>
      </c>
      <c r="J266" s="161">
        <f t="shared" ref="J266:W266" si="75">SUM(J262:J265)</f>
        <v>330510</v>
      </c>
      <c r="K266" s="161">
        <f t="shared" si="75"/>
        <v>45000</v>
      </c>
      <c r="L266" s="161">
        <f t="shared" si="75"/>
        <v>0</v>
      </c>
      <c r="M266" s="220">
        <f t="shared" si="75"/>
        <v>0</v>
      </c>
      <c r="N266" s="161">
        <f t="shared" si="75"/>
        <v>0</v>
      </c>
      <c r="O266" s="220">
        <f>SUM(O262:O265)</f>
        <v>0</v>
      </c>
      <c r="P266" s="220">
        <f t="shared" si="75"/>
        <v>0</v>
      </c>
      <c r="Q266" s="220">
        <f t="shared" si="75"/>
        <v>0</v>
      </c>
      <c r="R266" s="220">
        <f t="shared" si="75"/>
        <v>0</v>
      </c>
      <c r="S266" s="220">
        <f t="shared" si="75"/>
        <v>0</v>
      </c>
      <c r="T266" s="220">
        <f t="shared" si="75"/>
        <v>260000</v>
      </c>
      <c r="U266" s="220">
        <f t="shared" si="75"/>
        <v>350000</v>
      </c>
      <c r="V266" s="220">
        <f t="shared" si="75"/>
        <v>0</v>
      </c>
      <c r="W266" s="220">
        <f t="shared" si="75"/>
        <v>0</v>
      </c>
      <c r="X266" s="366"/>
      <c r="Y266" s="40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361">
        <v>11</v>
      </c>
      <c r="B267" s="373" t="s">
        <v>233</v>
      </c>
      <c r="C267" s="438">
        <v>2014</v>
      </c>
      <c r="D267" s="375">
        <v>2031</v>
      </c>
      <c r="E267" s="362" t="s">
        <v>260</v>
      </c>
      <c r="F267" s="419">
        <f>360877+X267</f>
        <v>2860877</v>
      </c>
      <c r="G267" s="465">
        <v>60016</v>
      </c>
      <c r="H267" s="154">
        <v>6050</v>
      </c>
      <c r="I267" s="155" t="s">
        <v>28</v>
      </c>
      <c r="J267" s="157"/>
      <c r="K267" s="164">
        <v>97000</v>
      </c>
      <c r="L267" s="164"/>
      <c r="M267" s="164"/>
      <c r="O267" s="244"/>
      <c r="P267" s="164">
        <v>800000</v>
      </c>
      <c r="Q267" s="164">
        <v>300000</v>
      </c>
      <c r="R267" s="164">
        <v>200000</v>
      </c>
      <c r="S267" s="164">
        <v>500000</v>
      </c>
      <c r="T267" s="164">
        <v>700000</v>
      </c>
      <c r="U267" s="164">
        <v>0</v>
      </c>
      <c r="V267" s="164"/>
      <c r="W267" s="157"/>
      <c r="X267" s="366">
        <f>SUM(L271:W271)</f>
        <v>2500000</v>
      </c>
      <c r="Y267" s="141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361"/>
      <c r="B268" s="373"/>
      <c r="C268" s="438"/>
      <c r="D268" s="375"/>
      <c r="E268" s="362"/>
      <c r="F268" s="419"/>
      <c r="G268" s="465"/>
      <c r="H268" s="154"/>
      <c r="I268" s="155" t="s">
        <v>31</v>
      </c>
      <c r="J268" s="157"/>
      <c r="K268" s="157"/>
      <c r="L268" s="157"/>
      <c r="M268" s="157"/>
      <c r="N268" s="157"/>
      <c r="O268" s="164"/>
      <c r="P268" s="164"/>
      <c r="Q268" s="164"/>
      <c r="R268" s="164"/>
      <c r="S268" s="164"/>
      <c r="T268" s="164"/>
      <c r="U268" s="164"/>
      <c r="V268" s="157"/>
      <c r="W268" s="157"/>
      <c r="X268" s="366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" customHeight="1">
      <c r="A269" s="361"/>
      <c r="B269" s="373"/>
      <c r="C269" s="438"/>
      <c r="D269" s="375"/>
      <c r="E269" s="362"/>
      <c r="F269" s="419"/>
      <c r="G269" s="465"/>
      <c r="H269" s="154"/>
      <c r="I269" s="155" t="s">
        <v>30</v>
      </c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366"/>
      <c r="Y269" s="40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2" customHeight="1">
      <c r="A270" s="361"/>
      <c r="B270" s="373"/>
      <c r="C270" s="438"/>
      <c r="D270" s="375"/>
      <c r="E270" s="362"/>
      <c r="F270" s="419"/>
      <c r="G270" s="465"/>
      <c r="H270" s="154"/>
      <c r="I270" s="155" t="s">
        <v>33</v>
      </c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366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5" customHeight="1">
      <c r="A271" s="361"/>
      <c r="B271" s="373"/>
      <c r="C271" s="438"/>
      <c r="D271" s="375"/>
      <c r="E271" s="362"/>
      <c r="F271" s="419"/>
      <c r="G271" s="465"/>
      <c r="H271" s="154"/>
      <c r="I271" s="160" t="s">
        <v>26</v>
      </c>
      <c r="J271" s="161">
        <f t="shared" ref="J271:N271" si="76">SUM(J267:J270)</f>
        <v>0</v>
      </c>
      <c r="K271" s="161">
        <f t="shared" si="76"/>
        <v>97000</v>
      </c>
      <c r="L271" s="161">
        <f t="shared" si="76"/>
        <v>0</v>
      </c>
      <c r="M271" s="161">
        <f>SUM(M267:M270)</f>
        <v>0</v>
      </c>
      <c r="N271" s="161">
        <f t="shared" si="76"/>
        <v>0</v>
      </c>
      <c r="O271" s="161">
        <f>SUM(O267:O270)</f>
        <v>0</v>
      </c>
      <c r="P271" s="162">
        <f>SUM(P267:P270)</f>
        <v>800000</v>
      </c>
      <c r="Q271" s="161">
        <f t="shared" ref="Q271:U271" si="77">SUM(Q267:Q270)</f>
        <v>300000</v>
      </c>
      <c r="R271" s="161">
        <f t="shared" si="77"/>
        <v>200000</v>
      </c>
      <c r="S271" s="161">
        <f t="shared" si="77"/>
        <v>500000</v>
      </c>
      <c r="T271" s="161">
        <f t="shared" si="77"/>
        <v>700000</v>
      </c>
      <c r="U271" s="161">
        <f t="shared" si="77"/>
        <v>0</v>
      </c>
      <c r="V271" s="162"/>
      <c r="W271" s="162"/>
      <c r="X271" s="366"/>
      <c r="Y271" s="40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361">
        <v>12</v>
      </c>
      <c r="B272" s="373" t="s">
        <v>51</v>
      </c>
      <c r="C272" s="375">
        <v>2014</v>
      </c>
      <c r="D272" s="375">
        <v>2030</v>
      </c>
      <c r="E272" s="362" t="s">
        <v>260</v>
      </c>
      <c r="F272" s="382">
        <f>206810+X272</f>
        <v>1306810</v>
      </c>
      <c r="G272" s="381">
        <v>60016</v>
      </c>
      <c r="H272" s="170">
        <v>6050</v>
      </c>
      <c r="I272" s="155" t="s">
        <v>28</v>
      </c>
      <c r="J272" s="157"/>
      <c r="K272" s="167"/>
      <c r="L272" s="243"/>
      <c r="M272" s="221">
        <v>0</v>
      </c>
      <c r="N272" s="243"/>
      <c r="O272" s="243">
        <v>0</v>
      </c>
      <c r="P272" s="243">
        <v>300000</v>
      </c>
      <c r="Q272" s="243">
        <v>400000</v>
      </c>
      <c r="R272" s="243">
        <v>150000</v>
      </c>
      <c r="S272" s="243">
        <v>250000</v>
      </c>
      <c r="T272" s="167"/>
      <c r="U272" s="167"/>
      <c r="V272" s="167"/>
      <c r="W272" s="167"/>
      <c r="X272" s="366">
        <f>SUM(L276:W276)</f>
        <v>1100000</v>
      </c>
      <c r="Y272" s="141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.75" customHeight="1">
      <c r="A273" s="361"/>
      <c r="B273" s="373"/>
      <c r="C273" s="375"/>
      <c r="D273" s="375"/>
      <c r="E273" s="362"/>
      <c r="F273" s="382"/>
      <c r="G273" s="381"/>
      <c r="H273" s="170"/>
      <c r="I273" s="155" t="s">
        <v>31</v>
      </c>
      <c r="J273" s="157"/>
      <c r="K273" s="157"/>
      <c r="L273" s="157"/>
      <c r="M273" s="157"/>
      <c r="N273" s="157"/>
      <c r="O273" s="157"/>
      <c r="P273" s="164"/>
      <c r="Q273" s="164"/>
      <c r="R273" s="164"/>
      <c r="S273" s="164"/>
      <c r="T273" s="157"/>
      <c r="U273" s="157"/>
      <c r="V273" s="157"/>
      <c r="W273" s="157"/>
      <c r="X273" s="366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.75" customHeight="1">
      <c r="A274" s="361"/>
      <c r="B274" s="373"/>
      <c r="C274" s="375"/>
      <c r="D274" s="375"/>
      <c r="E274" s="362"/>
      <c r="F274" s="382"/>
      <c r="G274" s="381"/>
      <c r="H274" s="170"/>
      <c r="I274" s="155" t="s">
        <v>30</v>
      </c>
      <c r="J274" s="158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366"/>
      <c r="Y274" s="40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.75" customHeight="1">
      <c r="A275" s="361"/>
      <c r="B275" s="373"/>
      <c r="C275" s="375"/>
      <c r="D275" s="375"/>
      <c r="E275" s="362"/>
      <c r="F275" s="382"/>
      <c r="G275" s="381"/>
      <c r="H275" s="170"/>
      <c r="I275" s="155" t="s">
        <v>33</v>
      </c>
      <c r="J275" s="158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366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61"/>
      <c r="B276" s="373"/>
      <c r="C276" s="375"/>
      <c r="D276" s="375"/>
      <c r="E276" s="362"/>
      <c r="F276" s="382"/>
      <c r="G276" s="381"/>
      <c r="H276" s="170"/>
      <c r="I276" s="160" t="s">
        <v>26</v>
      </c>
      <c r="J276" s="161">
        <f t="shared" ref="J276:L276" si="78">SUM(J272:J275)</f>
        <v>0</v>
      </c>
      <c r="K276" s="161">
        <f t="shared" si="78"/>
        <v>0</v>
      </c>
      <c r="L276" s="161">
        <f t="shared" si="78"/>
        <v>0</v>
      </c>
      <c r="M276" s="161">
        <f t="shared" ref="M276:S276" si="79">SUM(M272:M275)</f>
        <v>0</v>
      </c>
      <c r="N276" s="162">
        <f t="shared" si="79"/>
        <v>0</v>
      </c>
      <c r="O276" s="162">
        <f t="shared" si="79"/>
        <v>0</v>
      </c>
      <c r="P276" s="162">
        <f t="shared" si="79"/>
        <v>300000</v>
      </c>
      <c r="Q276" s="162">
        <f t="shared" si="79"/>
        <v>400000</v>
      </c>
      <c r="R276" s="162">
        <f t="shared" si="79"/>
        <v>150000</v>
      </c>
      <c r="S276" s="162">
        <f t="shared" si="79"/>
        <v>250000</v>
      </c>
      <c r="T276" s="162"/>
      <c r="U276" s="162"/>
      <c r="V276" s="162"/>
      <c r="W276" s="162"/>
      <c r="X276" s="366"/>
      <c r="Y276" s="40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53">
        <v>13</v>
      </c>
      <c r="B277" s="374" t="s">
        <v>148</v>
      </c>
      <c r="C277" s="375">
        <v>2024</v>
      </c>
      <c r="D277" s="375">
        <v>2032</v>
      </c>
      <c r="E277" s="362" t="s">
        <v>260</v>
      </c>
      <c r="F277" s="419">
        <f>X277</f>
        <v>750000</v>
      </c>
      <c r="G277" s="381">
        <v>60016</v>
      </c>
      <c r="H277" s="170">
        <v>6050</v>
      </c>
      <c r="I277" s="155" t="s">
        <v>28</v>
      </c>
      <c r="J277" s="156">
        <v>680000</v>
      </c>
      <c r="K277" s="167"/>
      <c r="L277" s="167"/>
      <c r="M277" s="167"/>
      <c r="N277" s="167"/>
      <c r="O277" s="164"/>
      <c r="P277" s="164"/>
      <c r="Q277" s="157"/>
      <c r="R277" s="164"/>
      <c r="S277" s="164">
        <v>50000</v>
      </c>
      <c r="T277" s="164">
        <v>350000</v>
      </c>
      <c r="U277" s="164">
        <v>350000</v>
      </c>
      <c r="V277" s="157"/>
      <c r="W277" s="157"/>
      <c r="X277" s="366">
        <f>SUM(L281:W281)</f>
        <v>750000</v>
      </c>
      <c r="Y277" s="141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" customHeight="1">
      <c r="A278" s="353"/>
      <c r="B278" s="374"/>
      <c r="C278" s="375"/>
      <c r="D278" s="375"/>
      <c r="E278" s="362"/>
      <c r="F278" s="419"/>
      <c r="G278" s="381"/>
      <c r="H278" s="170"/>
      <c r="I278" s="155" t="s">
        <v>31</v>
      </c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366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customHeight="1">
      <c r="A279" s="353"/>
      <c r="B279" s="374"/>
      <c r="C279" s="375"/>
      <c r="D279" s="375"/>
      <c r="E279" s="362"/>
      <c r="F279" s="419"/>
      <c r="G279" s="381"/>
      <c r="H279" s="170"/>
      <c r="I279" s="155" t="s">
        <v>30</v>
      </c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366"/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" customHeight="1">
      <c r="A280" s="353"/>
      <c r="B280" s="374"/>
      <c r="C280" s="375"/>
      <c r="D280" s="375"/>
      <c r="E280" s="362"/>
      <c r="F280" s="419"/>
      <c r="G280" s="381"/>
      <c r="H280" s="170"/>
      <c r="I280" s="155" t="s">
        <v>32</v>
      </c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366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.75" customHeight="1">
      <c r="A281" s="353"/>
      <c r="B281" s="374"/>
      <c r="C281" s="375"/>
      <c r="D281" s="375"/>
      <c r="E281" s="362"/>
      <c r="F281" s="419"/>
      <c r="G281" s="381"/>
      <c r="H281" s="170"/>
      <c r="I281" s="160" t="s">
        <v>26</v>
      </c>
      <c r="J281" s="161">
        <f t="shared" ref="J281:M281" si="80">SUM(J277:J280)</f>
        <v>680000</v>
      </c>
      <c r="K281" s="161">
        <f t="shared" si="80"/>
        <v>0</v>
      </c>
      <c r="L281" s="162">
        <f t="shared" si="80"/>
        <v>0</v>
      </c>
      <c r="M281" s="162">
        <f t="shared" si="80"/>
        <v>0</v>
      </c>
      <c r="N281" s="162">
        <f>SUM(N277:N280)</f>
        <v>0</v>
      </c>
      <c r="O281" s="207">
        <f>SUM(O277:O280)</f>
        <v>0</v>
      </c>
      <c r="P281" s="162">
        <f>SUM(P277:P280)</f>
        <v>0</v>
      </c>
      <c r="Q281" s="162">
        <f t="shared" ref="Q281:W281" si="81">SUM(Q277:Q280)</f>
        <v>0</v>
      </c>
      <c r="R281" s="162">
        <f t="shared" si="81"/>
        <v>0</v>
      </c>
      <c r="S281" s="162">
        <f t="shared" si="81"/>
        <v>50000</v>
      </c>
      <c r="T281" s="162">
        <f t="shared" si="81"/>
        <v>350000</v>
      </c>
      <c r="U281" s="162">
        <f t="shared" si="81"/>
        <v>350000</v>
      </c>
      <c r="V281" s="162">
        <f t="shared" si="81"/>
        <v>0</v>
      </c>
      <c r="W281" s="162">
        <f t="shared" si="81"/>
        <v>0</v>
      </c>
      <c r="X281" s="366"/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53">
        <v>11</v>
      </c>
      <c r="B282" s="376" t="s">
        <v>184</v>
      </c>
      <c r="C282" s="375">
        <v>2022</v>
      </c>
      <c r="D282" s="375">
        <v>2026</v>
      </c>
      <c r="E282" s="472" t="s">
        <v>27</v>
      </c>
      <c r="F282" s="419">
        <f>X282</f>
        <v>0</v>
      </c>
      <c r="G282" s="381">
        <v>60016</v>
      </c>
      <c r="H282" s="170">
        <v>6050</v>
      </c>
      <c r="I282" s="155" t="s">
        <v>28</v>
      </c>
      <c r="J282" s="164">
        <v>0</v>
      </c>
      <c r="K282" s="157">
        <v>0</v>
      </c>
      <c r="L282" s="164"/>
      <c r="N282" s="93"/>
      <c r="O282" s="100"/>
      <c r="P282" s="100"/>
      <c r="Q282" s="100"/>
      <c r="R282" s="94"/>
      <c r="S282" s="157"/>
      <c r="T282" s="157"/>
      <c r="U282" s="157"/>
      <c r="V282" s="157"/>
      <c r="W282" s="157"/>
      <c r="X282" s="366">
        <f>SUM(L286:W286)</f>
        <v>0</v>
      </c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2" hidden="1" customHeight="1">
      <c r="A283" s="353"/>
      <c r="B283" s="376"/>
      <c r="C283" s="375"/>
      <c r="D283" s="375"/>
      <c r="E283" s="472"/>
      <c r="F283" s="419"/>
      <c r="G283" s="381"/>
      <c r="H283" s="170"/>
      <c r="I283" s="155" t="s">
        <v>31</v>
      </c>
      <c r="J283" s="157"/>
      <c r="K283" s="157"/>
      <c r="L283" s="157"/>
      <c r="M283" s="158"/>
      <c r="N283" s="158"/>
      <c r="O283" s="95"/>
      <c r="P283" s="95"/>
      <c r="Q283" s="95"/>
      <c r="R283" s="95"/>
      <c r="S283" s="158"/>
      <c r="T283" s="158"/>
      <c r="U283" s="158"/>
      <c r="V283" s="158"/>
      <c r="W283" s="158"/>
      <c r="X283" s="366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2" hidden="1" customHeight="1">
      <c r="A284" s="353"/>
      <c r="B284" s="376"/>
      <c r="C284" s="375"/>
      <c r="D284" s="375"/>
      <c r="E284" s="472"/>
      <c r="F284" s="419"/>
      <c r="G284" s="381"/>
      <c r="H284" s="170"/>
      <c r="I284" s="155" t="s">
        <v>30</v>
      </c>
      <c r="J284" s="158"/>
      <c r="K284" s="158"/>
      <c r="L284" s="158"/>
      <c r="M284" s="158"/>
      <c r="N284" s="158"/>
      <c r="O284" s="95"/>
      <c r="P284" s="95"/>
      <c r="Q284" s="95"/>
      <c r="R284" s="95"/>
      <c r="S284" s="158"/>
      <c r="T284" s="158"/>
      <c r="U284" s="158"/>
      <c r="V284" s="158"/>
      <c r="W284" s="158"/>
      <c r="X284" s="366"/>
      <c r="Y284" s="40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2" hidden="1" customHeight="1">
      <c r="A285" s="353"/>
      <c r="B285" s="376"/>
      <c r="C285" s="375"/>
      <c r="D285" s="375"/>
      <c r="E285" s="472"/>
      <c r="F285" s="419"/>
      <c r="G285" s="381"/>
      <c r="H285" s="170"/>
      <c r="I285" s="155" t="s">
        <v>32</v>
      </c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366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6.5" hidden="1" customHeight="1">
      <c r="A286" s="353"/>
      <c r="B286" s="376"/>
      <c r="C286" s="375"/>
      <c r="D286" s="375"/>
      <c r="E286" s="472"/>
      <c r="F286" s="419"/>
      <c r="G286" s="381"/>
      <c r="H286" s="170"/>
      <c r="I286" s="222" t="s">
        <v>26</v>
      </c>
      <c r="J286" s="162">
        <f t="shared" ref="J286:L286" si="82">SUM(J282:J285)</f>
        <v>0</v>
      </c>
      <c r="K286" s="162">
        <f t="shared" si="82"/>
        <v>0</v>
      </c>
      <c r="L286" s="162">
        <f t="shared" si="82"/>
        <v>0</v>
      </c>
      <c r="M286" s="162">
        <f>SUM(M282:M285)</f>
        <v>0</v>
      </c>
      <c r="N286" s="162">
        <f>SUM(N282:N285)</f>
        <v>0</v>
      </c>
      <c r="O286" s="162">
        <f t="shared" ref="O286" si="83">SUM(O282:O285)</f>
        <v>0</v>
      </c>
      <c r="P286" s="162">
        <f>SUM(P282:P285)</f>
        <v>0</v>
      </c>
      <c r="Q286" s="161">
        <f>SUM(Q282:Q285)</f>
        <v>0</v>
      </c>
      <c r="R286" s="162"/>
      <c r="S286" s="162"/>
      <c r="T286" s="162"/>
      <c r="U286" s="162"/>
      <c r="V286" s="162"/>
      <c r="W286" s="162"/>
      <c r="X286" s="366"/>
      <c r="Y286" s="40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53">
        <v>14</v>
      </c>
      <c r="B287" s="373" t="s">
        <v>53</v>
      </c>
      <c r="C287" s="375">
        <v>2014</v>
      </c>
      <c r="D287" s="375">
        <v>2033</v>
      </c>
      <c r="E287" s="362" t="s">
        <v>260</v>
      </c>
      <c r="F287" s="419">
        <f>371212+X287</f>
        <v>921212</v>
      </c>
      <c r="G287" s="381">
        <v>60016</v>
      </c>
      <c r="H287" s="170">
        <v>6050</v>
      </c>
      <c r="I287" s="155" t="s">
        <v>28</v>
      </c>
      <c r="J287" s="164">
        <v>0</v>
      </c>
      <c r="K287" s="157">
        <v>0</v>
      </c>
      <c r="L287" s="164"/>
      <c r="N287" s="157"/>
      <c r="O287" s="156"/>
      <c r="P287" s="156"/>
      <c r="Q287" s="156"/>
      <c r="R287" s="164"/>
      <c r="S287" s="164">
        <v>0</v>
      </c>
      <c r="T287" s="164">
        <v>0</v>
      </c>
      <c r="U287" s="164">
        <v>200000</v>
      </c>
      <c r="V287" s="164">
        <v>350000</v>
      </c>
      <c r="W287" s="157"/>
      <c r="X287" s="366">
        <f>SUM(L291:W291)</f>
        <v>550000</v>
      </c>
      <c r="Y287" s="141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3.15" customHeight="1">
      <c r="A288" s="353"/>
      <c r="B288" s="373"/>
      <c r="C288" s="375"/>
      <c r="D288" s="375"/>
      <c r="E288" s="362"/>
      <c r="F288" s="419"/>
      <c r="G288" s="381"/>
      <c r="H288" s="170"/>
      <c r="I288" s="155" t="s">
        <v>31</v>
      </c>
      <c r="J288" s="157"/>
      <c r="K288" s="157"/>
      <c r="L288" s="157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366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3.15" customHeight="1">
      <c r="A289" s="353"/>
      <c r="B289" s="373"/>
      <c r="C289" s="375"/>
      <c r="D289" s="375"/>
      <c r="E289" s="362"/>
      <c r="F289" s="419"/>
      <c r="G289" s="381"/>
      <c r="H289" s="170"/>
      <c r="I289" s="155" t="s">
        <v>30</v>
      </c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366"/>
      <c r="Y289" s="40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3.15" customHeight="1">
      <c r="A290" s="353"/>
      <c r="B290" s="373"/>
      <c r="C290" s="375"/>
      <c r="D290" s="375"/>
      <c r="E290" s="362"/>
      <c r="F290" s="419"/>
      <c r="G290" s="381"/>
      <c r="H290" s="170"/>
      <c r="I290" s="155" t="s">
        <v>32</v>
      </c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366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53"/>
      <c r="B291" s="373"/>
      <c r="C291" s="375"/>
      <c r="D291" s="375"/>
      <c r="E291" s="362"/>
      <c r="F291" s="419"/>
      <c r="G291" s="381"/>
      <c r="H291" s="170"/>
      <c r="I291" s="222" t="s">
        <v>26</v>
      </c>
      <c r="J291" s="162">
        <f t="shared" ref="J291:O291" si="84">SUM(J287:J290)</f>
        <v>0</v>
      </c>
      <c r="K291" s="162">
        <f t="shared" si="84"/>
        <v>0</v>
      </c>
      <c r="L291" s="162">
        <f t="shared" si="84"/>
        <v>0</v>
      </c>
      <c r="M291" s="162">
        <f>SUM(M287:M290)</f>
        <v>0</v>
      </c>
      <c r="N291" s="162">
        <f>SUM(N287:N290)</f>
        <v>0</v>
      </c>
      <c r="O291" s="162">
        <f t="shared" si="84"/>
        <v>0</v>
      </c>
      <c r="P291" s="162">
        <f>SUM(P287:P290)</f>
        <v>0</v>
      </c>
      <c r="Q291" s="161">
        <f>SUM(Q287:Q290)</f>
        <v>0</v>
      </c>
      <c r="R291" s="161">
        <f t="shared" ref="R291:W291" si="85">SUM(R287:R290)</f>
        <v>0</v>
      </c>
      <c r="S291" s="161">
        <f t="shared" si="85"/>
        <v>0</v>
      </c>
      <c r="T291" s="161">
        <f t="shared" si="85"/>
        <v>0</v>
      </c>
      <c r="U291" s="161">
        <f t="shared" si="85"/>
        <v>200000</v>
      </c>
      <c r="V291" s="161">
        <f t="shared" si="85"/>
        <v>350000</v>
      </c>
      <c r="W291" s="161">
        <f t="shared" si="85"/>
        <v>0</v>
      </c>
      <c r="X291" s="366"/>
      <c r="Y291" s="40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53">
        <v>15</v>
      </c>
      <c r="B292" s="373" t="s">
        <v>54</v>
      </c>
      <c r="C292" s="375">
        <v>2014</v>
      </c>
      <c r="D292" s="375">
        <v>2032</v>
      </c>
      <c r="E292" s="362" t="s">
        <v>260</v>
      </c>
      <c r="F292" s="419">
        <f>47281+X292</f>
        <v>847281</v>
      </c>
      <c r="G292" s="381">
        <v>60016</v>
      </c>
      <c r="H292" s="170">
        <v>6050</v>
      </c>
      <c r="I292" s="155" t="s">
        <v>28</v>
      </c>
      <c r="J292" s="164"/>
      <c r="K292" s="164"/>
      <c r="L292" s="164">
        <v>0</v>
      </c>
      <c r="M292" s="164"/>
      <c r="N292" s="158"/>
      <c r="O292" s="158"/>
      <c r="P292" s="157"/>
      <c r="Q292" s="164">
        <v>0</v>
      </c>
      <c r="R292" s="164">
        <v>0</v>
      </c>
      <c r="S292" s="164">
        <v>0</v>
      </c>
      <c r="T292" s="164">
        <v>300000</v>
      </c>
      <c r="U292" s="164">
        <v>500000</v>
      </c>
      <c r="V292" s="157"/>
      <c r="W292" s="157"/>
      <c r="X292" s="366">
        <f>SUM(L296:W296)</f>
        <v>800000</v>
      </c>
      <c r="Y292" s="141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75" customHeight="1">
      <c r="A293" s="353"/>
      <c r="B293" s="373"/>
      <c r="C293" s="375"/>
      <c r="D293" s="375"/>
      <c r="E293" s="362"/>
      <c r="F293" s="419"/>
      <c r="G293" s="381"/>
      <c r="H293" s="170"/>
      <c r="I293" s="155" t="s">
        <v>31</v>
      </c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366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2.75" customHeight="1">
      <c r="A294" s="353"/>
      <c r="B294" s="373"/>
      <c r="C294" s="375"/>
      <c r="D294" s="375"/>
      <c r="E294" s="362"/>
      <c r="F294" s="419"/>
      <c r="G294" s="381"/>
      <c r="H294" s="170"/>
      <c r="I294" s="155" t="s">
        <v>30</v>
      </c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366"/>
      <c r="Y294" s="40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2.75" customHeight="1">
      <c r="A295" s="353"/>
      <c r="B295" s="373"/>
      <c r="C295" s="375"/>
      <c r="D295" s="375"/>
      <c r="E295" s="362"/>
      <c r="F295" s="419"/>
      <c r="G295" s="381"/>
      <c r="H295" s="170"/>
      <c r="I295" s="155" t="s">
        <v>32</v>
      </c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366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2.6" customHeight="1">
      <c r="A296" s="353"/>
      <c r="B296" s="373"/>
      <c r="C296" s="375"/>
      <c r="D296" s="375"/>
      <c r="E296" s="362"/>
      <c r="F296" s="419"/>
      <c r="G296" s="381"/>
      <c r="H296" s="170"/>
      <c r="I296" s="222" t="s">
        <v>26</v>
      </c>
      <c r="J296" s="162">
        <f>SUM(J292:J295)</f>
        <v>0</v>
      </c>
      <c r="K296" s="162">
        <f t="shared" ref="K296:O296" si="86">SUM(K292:K295)</f>
        <v>0</v>
      </c>
      <c r="L296" s="162">
        <f t="shared" si="86"/>
        <v>0</v>
      </c>
      <c r="M296" s="162">
        <f t="shared" si="86"/>
        <v>0</v>
      </c>
      <c r="N296" s="162">
        <f t="shared" si="86"/>
        <v>0</v>
      </c>
      <c r="O296" s="162">
        <f t="shared" si="86"/>
        <v>0</v>
      </c>
      <c r="P296" s="162">
        <f>SUM(P292:P295)</f>
        <v>0</v>
      </c>
      <c r="Q296" s="162">
        <f t="shared" ref="Q296:S296" si="87">SUM(Q292:Q295)</f>
        <v>0</v>
      </c>
      <c r="R296" s="162">
        <f t="shared" si="87"/>
        <v>0</v>
      </c>
      <c r="S296" s="162">
        <f t="shared" si="87"/>
        <v>0</v>
      </c>
      <c r="T296" s="162">
        <f t="shared" ref="T296" si="88">SUM(T292:T295)</f>
        <v>300000</v>
      </c>
      <c r="U296" s="162">
        <f t="shared" ref="U296" si="89">SUM(U292:U295)</f>
        <v>500000</v>
      </c>
      <c r="V296" s="162">
        <f t="shared" ref="V296" si="90">SUM(V292:V295)</f>
        <v>0</v>
      </c>
      <c r="W296" s="162">
        <f t="shared" ref="W296" si="91">SUM(W292:W295)</f>
        <v>0</v>
      </c>
      <c r="X296" s="366"/>
      <c r="Y296" s="40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53">
        <v>16</v>
      </c>
      <c r="B297" s="373" t="s">
        <v>240</v>
      </c>
      <c r="C297" s="375">
        <v>2015</v>
      </c>
      <c r="D297" s="370">
        <v>2026</v>
      </c>
      <c r="E297" s="362" t="s">
        <v>260</v>
      </c>
      <c r="F297" s="419">
        <f>634131+X297+35000</f>
        <v>6736802</v>
      </c>
      <c r="G297" s="535">
        <v>60016</v>
      </c>
      <c r="H297" s="170">
        <v>6050</v>
      </c>
      <c r="I297" s="155" t="s">
        <v>28</v>
      </c>
      <c r="J297" s="164">
        <v>262000</v>
      </c>
      <c r="K297" s="164"/>
      <c r="L297" s="164"/>
      <c r="M297" s="164"/>
      <c r="N297" s="340">
        <v>240000</v>
      </c>
      <c r="O297" s="164">
        <v>3300000</v>
      </c>
      <c r="P297" s="164">
        <v>0</v>
      </c>
      <c r="Q297" s="164">
        <v>0</v>
      </c>
      <c r="R297" s="164">
        <v>0</v>
      </c>
      <c r="S297" s="164">
        <v>0</v>
      </c>
      <c r="T297" s="164"/>
      <c r="U297" s="157"/>
      <c r="V297" s="157"/>
      <c r="W297" s="157"/>
      <c r="X297" s="366">
        <f>SUM(L301:W301)</f>
        <v>6067671</v>
      </c>
      <c r="Y297" s="141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53"/>
      <c r="B298" s="373"/>
      <c r="C298" s="375"/>
      <c r="D298" s="370"/>
      <c r="E298" s="362"/>
      <c r="F298" s="419"/>
      <c r="G298" s="536"/>
      <c r="H298" s="170">
        <v>6050</v>
      </c>
      <c r="I298" s="155" t="s">
        <v>31</v>
      </c>
      <c r="J298" s="164"/>
      <c r="K298" s="156"/>
      <c r="L298" s="156"/>
      <c r="M298" s="324"/>
      <c r="N298" s="341">
        <v>2395074</v>
      </c>
      <c r="O298" s="156">
        <v>132597</v>
      </c>
      <c r="P298" s="158"/>
      <c r="Q298" s="158"/>
      <c r="R298" s="158"/>
      <c r="S298" s="158"/>
      <c r="T298" s="158"/>
      <c r="U298" s="158"/>
      <c r="V298" s="158"/>
      <c r="W298" s="158"/>
      <c r="X298" s="366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53"/>
      <c r="B299" s="373"/>
      <c r="C299" s="375"/>
      <c r="D299" s="370"/>
      <c r="E299" s="362"/>
      <c r="F299" s="419"/>
      <c r="G299" s="536"/>
      <c r="H299" s="170"/>
      <c r="I299" s="155" t="s">
        <v>30</v>
      </c>
      <c r="J299" s="156"/>
      <c r="K299" s="156"/>
      <c r="L299" s="156"/>
      <c r="M299" s="158"/>
      <c r="N299" s="156"/>
      <c r="O299" s="156"/>
      <c r="P299" s="158"/>
      <c r="Q299" s="158"/>
      <c r="R299" s="158"/>
      <c r="S299" s="158"/>
      <c r="T299" s="158"/>
      <c r="U299" s="158"/>
      <c r="V299" s="158"/>
      <c r="W299" s="158"/>
      <c r="X299" s="366"/>
      <c r="Y299" s="40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53"/>
      <c r="B300" s="373"/>
      <c r="C300" s="375"/>
      <c r="D300" s="370"/>
      <c r="E300" s="362"/>
      <c r="F300" s="419"/>
      <c r="G300" s="536"/>
      <c r="H300" s="170"/>
      <c r="I300" s="155" t="s">
        <v>32</v>
      </c>
      <c r="J300" s="156"/>
      <c r="K300" s="156"/>
      <c r="L300" s="156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366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53"/>
      <c r="B301" s="373"/>
      <c r="C301" s="375"/>
      <c r="D301" s="370"/>
      <c r="E301" s="362"/>
      <c r="F301" s="419"/>
      <c r="G301" s="537"/>
      <c r="H301" s="170"/>
      <c r="I301" s="160" t="s">
        <v>26</v>
      </c>
      <c r="J301" s="161">
        <f t="shared" ref="J301:P301" si="92">SUM(J297:J300)</f>
        <v>262000</v>
      </c>
      <c r="K301" s="161">
        <f t="shared" si="92"/>
        <v>0</v>
      </c>
      <c r="L301" s="161">
        <f t="shared" si="92"/>
        <v>0</v>
      </c>
      <c r="M301" s="161">
        <f t="shared" si="92"/>
        <v>0</v>
      </c>
      <c r="N301" s="161">
        <f t="shared" si="92"/>
        <v>2635074</v>
      </c>
      <c r="O301" s="161">
        <f t="shared" si="92"/>
        <v>3432597</v>
      </c>
      <c r="P301" s="161">
        <f t="shared" si="92"/>
        <v>0</v>
      </c>
      <c r="Q301" s="161">
        <f>SUM(Q297:Q300)</f>
        <v>0</v>
      </c>
      <c r="R301" s="161">
        <f>SUM(R297:R300)</f>
        <v>0</v>
      </c>
      <c r="S301" s="161">
        <f>SUM(S297:S300)</f>
        <v>0</v>
      </c>
      <c r="T301" s="161"/>
      <c r="U301" s="161"/>
      <c r="V301" s="161"/>
      <c r="W301" s="161"/>
      <c r="X301" s="366"/>
      <c r="Y301" s="40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53">
        <v>17</v>
      </c>
      <c r="B302" s="373" t="s">
        <v>56</v>
      </c>
      <c r="C302" s="384">
        <v>2015</v>
      </c>
      <c r="D302" s="357">
        <v>2033</v>
      </c>
      <c r="E302" s="362" t="s">
        <v>260</v>
      </c>
      <c r="F302" s="367">
        <f>1489972+132269+X302+243200</f>
        <v>17257441</v>
      </c>
      <c r="G302" s="435">
        <v>60016</v>
      </c>
      <c r="H302" s="90">
        <v>6060</v>
      </c>
      <c r="I302" s="61" t="s">
        <v>28</v>
      </c>
      <c r="J302" s="87">
        <v>384000</v>
      </c>
      <c r="K302" s="87">
        <v>620000</v>
      </c>
      <c r="L302" s="87"/>
      <c r="M302" s="326"/>
      <c r="N302" s="87">
        <v>292000</v>
      </c>
      <c r="O302" s="87">
        <f>1000000+300000</f>
        <v>1300000</v>
      </c>
      <c r="P302" s="87">
        <v>1300000</v>
      </c>
      <c r="Q302" s="87">
        <v>2500000</v>
      </c>
      <c r="R302" s="87">
        <v>2000000</v>
      </c>
      <c r="S302" s="87">
        <v>2000000</v>
      </c>
      <c r="T302" s="87">
        <v>2000000</v>
      </c>
      <c r="U302" s="87">
        <v>2000000</v>
      </c>
      <c r="V302" s="87">
        <v>2000000</v>
      </c>
      <c r="W302" s="87"/>
      <c r="X302" s="371">
        <f>SUM(L306:W306)</f>
        <v>15392000</v>
      </c>
      <c r="Y302" s="141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53"/>
      <c r="B303" s="373"/>
      <c r="C303" s="384"/>
      <c r="D303" s="357"/>
      <c r="E303" s="362"/>
      <c r="F303" s="367"/>
      <c r="G303" s="435"/>
      <c r="H303" s="89"/>
      <c r="I303" s="60" t="s">
        <v>31</v>
      </c>
      <c r="J303" s="85"/>
      <c r="K303" s="77"/>
      <c r="L303" s="7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371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4.25" customHeight="1">
      <c r="A304" s="353"/>
      <c r="B304" s="373"/>
      <c r="C304" s="384"/>
      <c r="D304" s="357"/>
      <c r="E304" s="362"/>
      <c r="F304" s="367"/>
      <c r="G304" s="435"/>
      <c r="H304" s="89"/>
      <c r="I304" s="60" t="s">
        <v>30</v>
      </c>
      <c r="J304" s="85"/>
      <c r="K304" s="77"/>
      <c r="L304" s="77"/>
      <c r="M304" s="77"/>
      <c r="N304" s="77"/>
      <c r="O304" s="77"/>
      <c r="P304" s="77"/>
      <c r="Q304" s="77"/>
      <c r="R304" s="87"/>
      <c r="S304" s="87"/>
      <c r="T304" s="87"/>
      <c r="U304" s="87"/>
      <c r="V304" s="87"/>
      <c r="W304" s="87"/>
      <c r="X304" s="371"/>
      <c r="Y304" s="40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4.25" customHeight="1">
      <c r="A305" s="353"/>
      <c r="B305" s="373"/>
      <c r="C305" s="384"/>
      <c r="D305" s="357"/>
      <c r="E305" s="362"/>
      <c r="F305" s="367"/>
      <c r="G305" s="435"/>
      <c r="H305" s="89"/>
      <c r="I305" s="60" t="s">
        <v>32</v>
      </c>
      <c r="J305" s="85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371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4.25" customHeight="1">
      <c r="A306" s="353"/>
      <c r="B306" s="373"/>
      <c r="C306" s="384"/>
      <c r="D306" s="357"/>
      <c r="E306" s="362"/>
      <c r="F306" s="367"/>
      <c r="G306" s="435"/>
      <c r="H306" s="89"/>
      <c r="I306" s="64" t="s">
        <v>26</v>
      </c>
      <c r="J306" s="65">
        <f>SUM(J302:J305)</f>
        <v>384000</v>
      </c>
      <c r="K306" s="65">
        <f t="shared" ref="K306:W306" si="93">SUM(K302:K305)</f>
        <v>620000</v>
      </c>
      <c r="L306" s="65">
        <f t="shared" si="93"/>
        <v>0</v>
      </c>
      <c r="M306" s="65">
        <f t="shared" si="93"/>
        <v>0</v>
      </c>
      <c r="N306" s="65">
        <f t="shared" si="93"/>
        <v>292000</v>
      </c>
      <c r="O306" s="65">
        <f t="shared" si="93"/>
        <v>1300000</v>
      </c>
      <c r="P306" s="65">
        <f t="shared" si="93"/>
        <v>1300000</v>
      </c>
      <c r="Q306" s="65">
        <f t="shared" si="93"/>
        <v>2500000</v>
      </c>
      <c r="R306" s="65">
        <f t="shared" si="93"/>
        <v>2000000</v>
      </c>
      <c r="S306" s="65">
        <f t="shared" si="93"/>
        <v>2000000</v>
      </c>
      <c r="T306" s="65">
        <f t="shared" si="93"/>
        <v>2000000</v>
      </c>
      <c r="U306" s="65">
        <f t="shared" si="93"/>
        <v>2000000</v>
      </c>
      <c r="V306" s="65">
        <f t="shared" si="93"/>
        <v>2000000</v>
      </c>
      <c r="W306" s="65">
        <f t="shared" si="93"/>
        <v>0</v>
      </c>
      <c r="X306" s="371"/>
      <c r="Y306" s="40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53">
        <v>18</v>
      </c>
      <c r="B307" s="373" t="s">
        <v>217</v>
      </c>
      <c r="C307" s="375">
        <v>2014</v>
      </c>
      <c r="D307" s="370">
        <v>2031</v>
      </c>
      <c r="E307" s="362" t="s">
        <v>260</v>
      </c>
      <c r="F307" s="419">
        <f>19500+X307</f>
        <v>614500</v>
      </c>
      <c r="G307" s="381">
        <v>60016</v>
      </c>
      <c r="H307" s="170">
        <v>6050</v>
      </c>
      <c r="I307" s="155" t="s">
        <v>28</v>
      </c>
      <c r="J307" s="156">
        <v>725418</v>
      </c>
      <c r="K307" s="158"/>
      <c r="L307" s="199"/>
      <c r="M307" s="199"/>
      <c r="N307" s="199"/>
      <c r="O307" s="157"/>
      <c r="P307" s="164">
        <v>45000</v>
      </c>
      <c r="Q307" s="164"/>
      <c r="R307" s="164">
        <v>0</v>
      </c>
      <c r="S307" s="164">
        <v>100000</v>
      </c>
      <c r="T307" s="164">
        <v>450000</v>
      </c>
      <c r="U307" s="157"/>
      <c r="V307" s="157"/>
      <c r="W307" s="157"/>
      <c r="X307" s="366">
        <f>SUM(L311:W311)</f>
        <v>595000</v>
      </c>
      <c r="Y307" s="141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5" customHeight="1">
      <c r="A308" s="353"/>
      <c r="B308" s="373"/>
      <c r="C308" s="375"/>
      <c r="D308" s="370"/>
      <c r="E308" s="362"/>
      <c r="F308" s="419"/>
      <c r="G308" s="381"/>
      <c r="H308" s="170"/>
      <c r="I308" s="155" t="s">
        <v>31</v>
      </c>
      <c r="J308" s="158"/>
      <c r="K308" s="158"/>
      <c r="L308" s="199"/>
      <c r="M308" s="199"/>
      <c r="N308" s="167"/>
      <c r="O308" s="167"/>
      <c r="P308" s="199"/>
      <c r="Q308" s="199"/>
      <c r="R308" s="199"/>
      <c r="S308" s="199"/>
      <c r="T308" s="199"/>
      <c r="U308" s="199"/>
      <c r="V308" s="199"/>
      <c r="W308" s="199"/>
      <c r="X308" s="366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5" customHeight="1">
      <c r="A309" s="353"/>
      <c r="B309" s="373"/>
      <c r="C309" s="375"/>
      <c r="D309" s="370"/>
      <c r="E309" s="362"/>
      <c r="F309" s="419"/>
      <c r="G309" s="381"/>
      <c r="H309" s="170"/>
      <c r="I309" s="155" t="s">
        <v>30</v>
      </c>
      <c r="J309" s="158"/>
      <c r="K309" s="158"/>
      <c r="L309" s="199"/>
      <c r="M309" s="199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366"/>
      <c r="Y309" s="40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5" customHeight="1">
      <c r="A310" s="353"/>
      <c r="B310" s="373"/>
      <c r="C310" s="375"/>
      <c r="D310" s="370"/>
      <c r="E310" s="362"/>
      <c r="F310" s="419"/>
      <c r="G310" s="381"/>
      <c r="H310" s="170"/>
      <c r="I310" s="155" t="s">
        <v>33</v>
      </c>
      <c r="J310" s="186"/>
      <c r="K310" s="186"/>
      <c r="L310" s="199"/>
      <c r="M310" s="199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366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ht="13.5" customHeight="1">
      <c r="A311" s="353"/>
      <c r="B311" s="373"/>
      <c r="C311" s="375"/>
      <c r="D311" s="370"/>
      <c r="E311" s="362"/>
      <c r="F311" s="419"/>
      <c r="G311" s="381"/>
      <c r="H311" s="170"/>
      <c r="I311" s="160" t="s">
        <v>26</v>
      </c>
      <c r="J311" s="161">
        <f>J307+J308+J309+J310</f>
        <v>725418</v>
      </c>
      <c r="K311" s="161">
        <f>K307+K308+K309+K310</f>
        <v>0</v>
      </c>
      <c r="L311" s="162">
        <f>L307+L308+L309+L310</f>
        <v>0</v>
      </c>
      <c r="M311" s="162">
        <f>M307+M308+M309+M310</f>
        <v>0</v>
      </c>
      <c r="N311" s="162">
        <f t="shared" ref="N311:W311" si="94">N307+N308+N309+N310</f>
        <v>0</v>
      </c>
      <c r="O311" s="162">
        <f t="shared" si="94"/>
        <v>0</v>
      </c>
      <c r="P311" s="162">
        <f t="shared" si="94"/>
        <v>45000</v>
      </c>
      <c r="Q311" s="162">
        <f t="shared" si="94"/>
        <v>0</v>
      </c>
      <c r="R311" s="162">
        <f t="shared" si="94"/>
        <v>0</v>
      </c>
      <c r="S311" s="162">
        <f t="shared" si="94"/>
        <v>100000</v>
      </c>
      <c r="T311" s="162">
        <f t="shared" si="94"/>
        <v>450000</v>
      </c>
      <c r="U311" s="162">
        <f t="shared" si="94"/>
        <v>0</v>
      </c>
      <c r="V311" s="162">
        <f t="shared" si="94"/>
        <v>0</v>
      </c>
      <c r="W311" s="162">
        <f t="shared" si="94"/>
        <v>0</v>
      </c>
      <c r="X311" s="366"/>
      <c r="Y311" s="40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96"/>
      <c r="BQ311" s="96"/>
      <c r="BR311" s="96"/>
      <c r="BS311" s="96"/>
      <c r="BT311" s="96"/>
      <c r="BU311" s="96"/>
      <c r="BV311" s="96"/>
      <c r="BW311" s="96"/>
      <c r="BX311" s="96"/>
      <c r="BY311" s="96"/>
      <c r="BZ311" s="96"/>
      <c r="CA311" s="96"/>
      <c r="CB311" s="96"/>
      <c r="CC311" s="96"/>
      <c r="CD311" s="96"/>
      <c r="CE311" s="96"/>
      <c r="CF311" s="96"/>
      <c r="CG311" s="96"/>
      <c r="CH311" s="96"/>
      <c r="CI311" s="96"/>
      <c r="CJ311" s="96"/>
      <c r="CK311" s="96"/>
      <c r="CL311" s="96"/>
      <c r="CM311" s="96"/>
      <c r="CN311" s="96"/>
      <c r="CO311" s="96"/>
      <c r="CP311" s="96"/>
      <c r="CQ311" s="96"/>
      <c r="CR311" s="96"/>
      <c r="CS311" s="96"/>
      <c r="CT311" s="96"/>
      <c r="CU311" s="96"/>
      <c r="CV311" s="96"/>
      <c r="CW311" s="96"/>
      <c r="CX311" s="96"/>
      <c r="CY311" s="96"/>
      <c r="CZ311" s="96"/>
      <c r="DA311" s="96"/>
      <c r="DB311" s="96"/>
      <c r="DC311" s="96"/>
      <c r="DD311" s="96"/>
      <c r="DE311" s="96"/>
      <c r="DF311" s="96"/>
      <c r="DG311" s="96"/>
      <c r="DH311" s="96"/>
      <c r="DI311" s="96"/>
      <c r="DJ311" s="96"/>
      <c r="DK311" s="96"/>
      <c r="DL311" s="96"/>
      <c r="DM311" s="96"/>
      <c r="DN311" s="96"/>
      <c r="DO311" s="96"/>
      <c r="DP311" s="96"/>
      <c r="DQ311" s="96"/>
      <c r="DR311" s="96"/>
      <c r="DS311" s="96"/>
      <c r="DT311" s="96"/>
      <c r="DU311" s="96"/>
      <c r="DV311" s="96"/>
      <c r="DW311" s="96"/>
      <c r="DX311" s="96"/>
      <c r="DY311" s="96"/>
      <c r="DZ311" s="96"/>
      <c r="EA311" s="96"/>
      <c r="EB311" s="96"/>
      <c r="EC311" s="96"/>
      <c r="ED311" s="96"/>
      <c r="EE311" s="96"/>
      <c r="EF311" s="96"/>
      <c r="EG311" s="96"/>
      <c r="EH311" s="96"/>
      <c r="EI311" s="96"/>
      <c r="EJ311" s="96"/>
      <c r="EK311" s="96"/>
      <c r="EL311" s="96"/>
      <c r="EM311" s="96"/>
      <c r="EN311" s="96"/>
      <c r="EO311" s="96"/>
      <c r="EP311" s="96"/>
      <c r="EQ311" s="96"/>
      <c r="ER311" s="96"/>
      <c r="ES311" s="96"/>
      <c r="ET311" s="96"/>
      <c r="EU311" s="96"/>
      <c r="EV311" s="96"/>
      <c r="EW311" s="96"/>
      <c r="EX311" s="96"/>
      <c r="EY311" s="96"/>
      <c r="EZ311" s="96"/>
      <c r="FA311" s="96"/>
      <c r="FB311" s="96"/>
      <c r="FC311" s="96"/>
      <c r="FD311" s="96"/>
      <c r="FE311" s="96"/>
      <c r="FF311" s="96"/>
      <c r="FG311" s="96"/>
      <c r="FH311" s="96"/>
      <c r="FI311" s="96"/>
      <c r="FJ311" s="96"/>
      <c r="FK311" s="96"/>
      <c r="FL311" s="96"/>
      <c r="FM311" s="96"/>
      <c r="FN311" s="96"/>
      <c r="FO311" s="96"/>
      <c r="FP311" s="96"/>
      <c r="FQ311" s="96"/>
      <c r="FR311" s="96"/>
      <c r="FS311" s="96"/>
      <c r="FT311" s="96"/>
      <c r="FU311" s="96"/>
      <c r="FV311" s="96"/>
      <c r="FW311" s="96"/>
      <c r="FX311" s="96"/>
      <c r="FY311" s="96"/>
      <c r="FZ311" s="96"/>
      <c r="GA311" s="96"/>
      <c r="GB311" s="96"/>
      <c r="GC311" s="96"/>
      <c r="GD311" s="96"/>
      <c r="GE311" s="96"/>
      <c r="GF311" s="96"/>
      <c r="GG311" s="96"/>
      <c r="GH311" s="96"/>
      <c r="GI311" s="96"/>
      <c r="GJ311" s="96"/>
      <c r="GK311" s="96"/>
      <c r="GL311" s="96"/>
      <c r="GM311" s="96"/>
      <c r="GN311" s="96"/>
      <c r="GO311" s="96"/>
      <c r="GP311" s="96"/>
    </row>
    <row r="312" spans="1:198" ht="17.25" customHeight="1">
      <c r="A312" s="353">
        <v>19</v>
      </c>
      <c r="B312" s="373" t="s">
        <v>243</v>
      </c>
      <c r="C312" s="375">
        <v>2016</v>
      </c>
      <c r="D312" s="370">
        <v>2025</v>
      </c>
      <c r="E312" s="362" t="s">
        <v>260</v>
      </c>
      <c r="F312" s="419">
        <f>2716144+X312</f>
        <v>4825556</v>
      </c>
      <c r="G312" s="465">
        <v>60016</v>
      </c>
      <c r="H312" s="154">
        <v>6050</v>
      </c>
      <c r="I312" s="183" t="s">
        <v>28</v>
      </c>
      <c r="J312" s="157">
        <v>0</v>
      </c>
      <c r="K312" s="158"/>
      <c r="L312" s="164"/>
      <c r="M312" s="156"/>
      <c r="N312" s="342">
        <v>450000</v>
      </c>
      <c r="O312" s="156">
        <v>0</v>
      </c>
      <c r="P312" s="156"/>
      <c r="Q312" s="156"/>
      <c r="R312" s="156"/>
      <c r="S312" s="156"/>
      <c r="T312" s="156"/>
      <c r="U312" s="156"/>
      <c r="V312" s="156"/>
      <c r="W312" s="156"/>
      <c r="X312" s="366">
        <f>SUM(L316:W316)</f>
        <v>2109412</v>
      </c>
      <c r="Y312" s="141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ht="14.25" customHeight="1">
      <c r="A313" s="353"/>
      <c r="B313" s="373"/>
      <c r="C313" s="375"/>
      <c r="D313" s="370"/>
      <c r="E313" s="362"/>
      <c r="F313" s="419"/>
      <c r="G313" s="465"/>
      <c r="H313" s="154">
        <v>6050</v>
      </c>
      <c r="I313" s="183" t="s">
        <v>31</v>
      </c>
      <c r="J313" s="157"/>
      <c r="K313" s="158"/>
      <c r="L313" s="186"/>
      <c r="M313" s="156"/>
      <c r="N313" s="336">
        <v>1659412</v>
      </c>
      <c r="O313" s="167"/>
      <c r="P313" s="199"/>
      <c r="Q313" s="199"/>
      <c r="R313" s="199"/>
      <c r="S313" s="199"/>
      <c r="T313" s="199"/>
      <c r="U313" s="199"/>
      <c r="V313" s="199"/>
      <c r="W313" s="199"/>
      <c r="X313" s="366"/>
      <c r="Y313" s="40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</row>
    <row r="314" spans="1:198" s="15" customFormat="1" ht="14.25" customHeight="1">
      <c r="A314" s="353"/>
      <c r="B314" s="373"/>
      <c r="C314" s="375"/>
      <c r="D314" s="370"/>
      <c r="E314" s="362"/>
      <c r="F314" s="419"/>
      <c r="G314" s="465"/>
      <c r="H314" s="154"/>
      <c r="I314" s="163" t="s">
        <v>30</v>
      </c>
      <c r="J314" s="157"/>
      <c r="K314" s="157"/>
      <c r="L314" s="199"/>
      <c r="M314" s="199"/>
      <c r="N314" s="199"/>
      <c r="O314" s="199"/>
      <c r="P314" s="337"/>
      <c r="Q314" s="199"/>
      <c r="R314" s="199"/>
      <c r="S314" s="199"/>
      <c r="T314" s="199"/>
      <c r="U314" s="199"/>
      <c r="V314" s="199"/>
      <c r="W314" s="199"/>
      <c r="X314" s="366"/>
      <c r="Y314" s="146"/>
      <c r="Z314" s="147"/>
      <c r="AA314" s="147"/>
      <c r="AB314" s="147"/>
      <c r="AC314" s="147"/>
      <c r="AD314" s="147"/>
      <c r="AE314" s="147"/>
      <c r="AF314" s="147"/>
      <c r="AG314" s="147"/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  <c r="BI314" s="147"/>
      <c r="BJ314" s="147"/>
      <c r="BK314" s="147"/>
      <c r="BL314" s="147"/>
      <c r="BM314" s="147"/>
      <c r="BN314" s="147"/>
      <c r="BO314" s="147"/>
      <c r="BP314" s="147"/>
      <c r="BQ314" s="147"/>
      <c r="BR314" s="147"/>
      <c r="BS314" s="147"/>
      <c r="BT314" s="147"/>
      <c r="BU314" s="147"/>
      <c r="BV314" s="147"/>
      <c r="BW314" s="147"/>
      <c r="BX314" s="147"/>
      <c r="BY314" s="147"/>
      <c r="BZ314" s="147"/>
      <c r="CA314" s="147"/>
      <c r="CB314" s="147"/>
      <c r="CC314" s="147"/>
      <c r="CD314" s="147"/>
      <c r="CE314" s="147"/>
      <c r="CF314" s="147"/>
      <c r="CG314" s="147"/>
      <c r="CH314" s="147"/>
      <c r="CI314" s="147"/>
      <c r="CJ314" s="147"/>
      <c r="CK314" s="147"/>
      <c r="CL314" s="147"/>
      <c r="CM314" s="147"/>
      <c r="CN314" s="147"/>
      <c r="CO314" s="147"/>
      <c r="CP314" s="147"/>
      <c r="CQ314" s="147"/>
      <c r="CR314" s="147"/>
      <c r="CS314" s="147"/>
      <c r="CT314" s="147"/>
      <c r="CU314" s="147"/>
      <c r="CV314" s="147"/>
      <c r="CW314" s="147"/>
      <c r="CX314" s="147"/>
      <c r="CY314" s="147"/>
      <c r="CZ314" s="147"/>
      <c r="DA314" s="147"/>
      <c r="DB314" s="147"/>
      <c r="DC314" s="147"/>
      <c r="DD314" s="147"/>
      <c r="DE314" s="147"/>
      <c r="DF314" s="147"/>
      <c r="DG314" s="147"/>
      <c r="DH314" s="147"/>
      <c r="DI314" s="147"/>
      <c r="DJ314" s="147"/>
      <c r="DK314" s="147"/>
      <c r="DL314" s="147"/>
      <c r="DM314" s="147"/>
      <c r="DN314" s="147"/>
      <c r="DO314" s="147"/>
      <c r="DP314" s="147"/>
      <c r="DQ314" s="147"/>
      <c r="DR314" s="147"/>
      <c r="DS314" s="147"/>
      <c r="DT314" s="147"/>
      <c r="DU314" s="147"/>
      <c r="DV314" s="147"/>
      <c r="DW314" s="147"/>
      <c r="DX314" s="147"/>
      <c r="DY314" s="147"/>
      <c r="DZ314" s="147"/>
      <c r="EA314" s="147"/>
      <c r="EB314" s="147"/>
      <c r="EC314" s="147"/>
      <c r="ED314" s="147"/>
      <c r="EE314" s="147"/>
      <c r="EF314" s="147"/>
      <c r="EG314" s="147"/>
      <c r="EH314" s="147"/>
      <c r="EI314" s="147"/>
      <c r="EJ314" s="147"/>
      <c r="EK314" s="147"/>
      <c r="EL314" s="147"/>
      <c r="EM314" s="147"/>
      <c r="EN314" s="147"/>
      <c r="EO314" s="147"/>
      <c r="EP314" s="147"/>
      <c r="EQ314" s="147"/>
      <c r="ER314" s="147"/>
      <c r="ES314" s="147"/>
      <c r="ET314" s="147"/>
      <c r="EU314" s="147"/>
      <c r="EV314" s="147"/>
      <c r="EW314" s="147"/>
      <c r="EX314" s="147"/>
      <c r="EY314" s="147"/>
      <c r="EZ314" s="147"/>
      <c r="FA314" s="147"/>
      <c r="FB314" s="147"/>
      <c r="FC314" s="147"/>
      <c r="FD314" s="147"/>
      <c r="FE314" s="147"/>
      <c r="FF314" s="147"/>
      <c r="FG314" s="147"/>
      <c r="FH314" s="147"/>
      <c r="FI314" s="147"/>
      <c r="FJ314" s="147"/>
      <c r="FK314" s="147"/>
      <c r="FL314" s="147"/>
      <c r="FM314" s="147"/>
      <c r="FN314" s="147"/>
      <c r="FO314" s="147"/>
      <c r="FP314" s="147"/>
      <c r="FQ314" s="147"/>
      <c r="FR314" s="147"/>
      <c r="FS314" s="147"/>
      <c r="FT314" s="147"/>
      <c r="FU314" s="147"/>
      <c r="FV314" s="147"/>
      <c r="FW314" s="147"/>
      <c r="FX314" s="147"/>
      <c r="FY314" s="147"/>
      <c r="FZ314" s="147"/>
      <c r="GA314" s="147"/>
      <c r="GB314" s="147"/>
      <c r="GC314" s="147"/>
      <c r="GD314" s="147"/>
      <c r="GE314" s="147"/>
      <c r="GF314" s="147"/>
      <c r="GG314" s="147"/>
      <c r="GH314" s="147"/>
      <c r="GI314" s="147"/>
      <c r="GJ314" s="147"/>
      <c r="GK314" s="147"/>
      <c r="GL314" s="147"/>
      <c r="GM314" s="147"/>
      <c r="GN314" s="147"/>
      <c r="GO314" s="147"/>
      <c r="GP314" s="147"/>
    </row>
    <row r="315" spans="1:198" ht="14.25" customHeight="1">
      <c r="A315" s="353"/>
      <c r="B315" s="373"/>
      <c r="C315" s="375"/>
      <c r="D315" s="370"/>
      <c r="E315" s="362"/>
      <c r="F315" s="419"/>
      <c r="G315" s="465"/>
      <c r="H315" s="154"/>
      <c r="I315" s="163" t="s">
        <v>70</v>
      </c>
      <c r="J315" s="199"/>
      <c r="K315" s="199"/>
      <c r="L315" s="157"/>
      <c r="M315" s="199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366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1.25" customHeight="1">
      <c r="A316" s="353"/>
      <c r="B316" s="373"/>
      <c r="C316" s="375"/>
      <c r="D316" s="370"/>
      <c r="E316" s="362"/>
      <c r="F316" s="419"/>
      <c r="G316" s="465"/>
      <c r="H316" s="154"/>
      <c r="I316" s="222" t="s">
        <v>26</v>
      </c>
      <c r="J316" s="162">
        <f>J312+J313+J314+J315</f>
        <v>0</v>
      </c>
      <c r="K316" s="162">
        <f>K312+K313+K314+K315</f>
        <v>0</v>
      </c>
      <c r="L316" s="162">
        <f>L312+L313+L314+L315</f>
        <v>0</v>
      </c>
      <c r="M316" s="162">
        <f>M312+M313+M314+M315</f>
        <v>0</v>
      </c>
      <c r="N316" s="162">
        <f>N312+N313+N314+N315</f>
        <v>2109412</v>
      </c>
      <c r="O316" s="162">
        <f t="shared" ref="O316:W316" si="95">O312+O313+O314+O315</f>
        <v>0</v>
      </c>
      <c r="P316" s="162">
        <f t="shared" si="95"/>
        <v>0</v>
      </c>
      <c r="Q316" s="162">
        <f t="shared" si="95"/>
        <v>0</v>
      </c>
      <c r="R316" s="162">
        <f t="shared" si="95"/>
        <v>0</v>
      </c>
      <c r="S316" s="162">
        <f t="shared" si="95"/>
        <v>0</v>
      </c>
      <c r="T316" s="162">
        <f t="shared" si="95"/>
        <v>0</v>
      </c>
      <c r="U316" s="162">
        <f t="shared" si="95"/>
        <v>0</v>
      </c>
      <c r="V316" s="162">
        <f t="shared" si="95"/>
        <v>0</v>
      </c>
      <c r="W316" s="162">
        <f t="shared" si="95"/>
        <v>0</v>
      </c>
      <c r="X316" s="366"/>
      <c r="Y316" s="40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53">
        <v>20</v>
      </c>
      <c r="B317" s="373" t="s">
        <v>149</v>
      </c>
      <c r="C317" s="375">
        <v>2022</v>
      </c>
      <c r="D317" s="370">
        <v>2028</v>
      </c>
      <c r="E317" s="362" t="s">
        <v>260</v>
      </c>
      <c r="F317" s="382">
        <f>46050+X317</f>
        <v>896050</v>
      </c>
      <c r="G317" s="465">
        <v>60016</v>
      </c>
      <c r="H317" s="154">
        <v>6050</v>
      </c>
      <c r="I317" s="163" t="s">
        <v>28</v>
      </c>
      <c r="J317" s="290">
        <v>527095</v>
      </c>
      <c r="K317" s="164">
        <v>762450</v>
      </c>
      <c r="L317" s="158"/>
      <c r="M317" s="158">
        <v>0</v>
      </c>
      <c r="N317" s="186"/>
      <c r="O317" s="186"/>
      <c r="P317" s="156">
        <v>500000</v>
      </c>
      <c r="Q317" s="156">
        <v>350000</v>
      </c>
      <c r="R317" s="186"/>
      <c r="S317" s="186"/>
      <c r="T317" s="186"/>
      <c r="U317" s="186"/>
      <c r="V317" s="186"/>
      <c r="W317" s="186"/>
      <c r="X317" s="366">
        <f>SUM(L321:W321)</f>
        <v>850000</v>
      </c>
      <c r="Y317" s="141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53"/>
      <c r="B318" s="373"/>
      <c r="C318" s="375"/>
      <c r="D318" s="370"/>
      <c r="E318" s="362"/>
      <c r="F318" s="382"/>
      <c r="G318" s="465"/>
      <c r="H318" s="154"/>
      <c r="I318" s="163" t="s">
        <v>31</v>
      </c>
      <c r="J318" s="186"/>
      <c r="K318" s="186"/>
      <c r="L318" s="186"/>
      <c r="M318" s="186"/>
      <c r="N318" s="186"/>
      <c r="O318" s="186"/>
      <c r="P318" s="187"/>
      <c r="Q318" s="187"/>
      <c r="R318" s="186"/>
      <c r="S318" s="186"/>
      <c r="T318" s="186"/>
      <c r="U318" s="186"/>
      <c r="V318" s="186"/>
      <c r="W318" s="186"/>
      <c r="X318" s="366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53"/>
      <c r="B319" s="373"/>
      <c r="C319" s="375"/>
      <c r="D319" s="370"/>
      <c r="E319" s="362"/>
      <c r="F319" s="382"/>
      <c r="G319" s="465"/>
      <c r="H319" s="154"/>
      <c r="I319" s="163" t="s">
        <v>30</v>
      </c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366"/>
      <c r="Y319" s="40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53"/>
      <c r="B320" s="373"/>
      <c r="C320" s="375"/>
      <c r="D320" s="370"/>
      <c r="E320" s="362"/>
      <c r="F320" s="382"/>
      <c r="G320" s="465"/>
      <c r="H320" s="154"/>
      <c r="I320" s="163" t="s">
        <v>32</v>
      </c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366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53"/>
      <c r="B321" s="373"/>
      <c r="C321" s="375"/>
      <c r="D321" s="370"/>
      <c r="E321" s="362"/>
      <c r="F321" s="382"/>
      <c r="G321" s="465"/>
      <c r="H321" s="154"/>
      <c r="I321" s="160" t="s">
        <v>26</v>
      </c>
      <c r="J321" s="161">
        <f>SUM(J317:J320)</f>
        <v>527095</v>
      </c>
      <c r="K321" s="161">
        <f t="shared" ref="K321:W321" si="96">SUM(K317:K320)</f>
        <v>762450</v>
      </c>
      <c r="L321" s="161">
        <f t="shared" si="96"/>
        <v>0</v>
      </c>
      <c r="M321" s="161">
        <f t="shared" si="96"/>
        <v>0</v>
      </c>
      <c r="N321" s="161">
        <f t="shared" si="96"/>
        <v>0</v>
      </c>
      <c r="O321" s="161">
        <f t="shared" si="96"/>
        <v>0</v>
      </c>
      <c r="P321" s="161">
        <f t="shared" si="96"/>
        <v>500000</v>
      </c>
      <c r="Q321" s="161">
        <f t="shared" si="96"/>
        <v>350000</v>
      </c>
      <c r="R321" s="161">
        <f t="shared" si="96"/>
        <v>0</v>
      </c>
      <c r="S321" s="161">
        <f t="shared" si="96"/>
        <v>0</v>
      </c>
      <c r="T321" s="161">
        <f t="shared" si="96"/>
        <v>0</v>
      </c>
      <c r="U321" s="161">
        <f t="shared" si="96"/>
        <v>0</v>
      </c>
      <c r="V321" s="161">
        <f t="shared" si="96"/>
        <v>0</v>
      </c>
      <c r="W321" s="161">
        <f t="shared" si="96"/>
        <v>0</v>
      </c>
      <c r="X321" s="366"/>
      <c r="Y321" s="40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53">
        <v>21</v>
      </c>
      <c r="B322" s="374" t="s">
        <v>80</v>
      </c>
      <c r="C322" s="375">
        <v>2015</v>
      </c>
      <c r="D322" s="370">
        <v>2029</v>
      </c>
      <c r="E322" s="362" t="s">
        <v>260</v>
      </c>
      <c r="F322" s="419">
        <f>60789+X322</f>
        <v>1780789</v>
      </c>
      <c r="G322" s="381">
        <v>60016</v>
      </c>
      <c r="H322" s="170">
        <v>6050</v>
      </c>
      <c r="I322" s="155" t="s">
        <v>28</v>
      </c>
      <c r="J322" s="164"/>
      <c r="K322" s="157"/>
      <c r="L322" s="164">
        <v>0</v>
      </c>
      <c r="M322" s="157"/>
      <c r="N322" s="164">
        <v>20000</v>
      </c>
      <c r="O322" s="164">
        <v>100000</v>
      </c>
      <c r="P322" s="164">
        <v>500000</v>
      </c>
      <c r="Q322" s="164">
        <v>450000</v>
      </c>
      <c r="R322" s="164">
        <v>650000</v>
      </c>
      <c r="S322" s="164"/>
      <c r="T322" s="157"/>
      <c r="U322" s="157"/>
      <c r="V322" s="157"/>
      <c r="W322" s="157"/>
      <c r="X322" s="484">
        <f>SUM(L326:W326)</f>
        <v>1720000</v>
      </c>
      <c r="Y322" s="141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53"/>
      <c r="B323" s="374"/>
      <c r="C323" s="375"/>
      <c r="D323" s="370"/>
      <c r="E323" s="362"/>
      <c r="F323" s="419"/>
      <c r="G323" s="381"/>
      <c r="H323" s="170"/>
      <c r="I323" s="155" t="s">
        <v>31</v>
      </c>
      <c r="J323" s="199"/>
      <c r="K323" s="199"/>
      <c r="L323" s="199"/>
      <c r="M323" s="199"/>
      <c r="N323" s="199"/>
      <c r="O323" s="169"/>
      <c r="P323" s="169"/>
      <c r="Q323" s="169"/>
      <c r="R323" s="169"/>
      <c r="S323" s="169"/>
      <c r="T323" s="199"/>
      <c r="U323" s="199"/>
      <c r="V323" s="199"/>
      <c r="W323" s="199"/>
      <c r="X323" s="484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53"/>
      <c r="B324" s="374"/>
      <c r="C324" s="375"/>
      <c r="D324" s="370"/>
      <c r="E324" s="362"/>
      <c r="F324" s="419"/>
      <c r="G324" s="381"/>
      <c r="H324" s="170"/>
      <c r="I324" s="155" t="s">
        <v>30</v>
      </c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484"/>
      <c r="Y324" s="40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53"/>
      <c r="B325" s="374"/>
      <c r="C325" s="375"/>
      <c r="D325" s="370"/>
      <c r="E325" s="362"/>
      <c r="F325" s="419"/>
      <c r="G325" s="381"/>
      <c r="H325" s="170"/>
      <c r="I325" s="155" t="s">
        <v>33</v>
      </c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484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53"/>
      <c r="B326" s="374"/>
      <c r="C326" s="375"/>
      <c r="D326" s="370"/>
      <c r="E326" s="362"/>
      <c r="F326" s="419"/>
      <c r="G326" s="381"/>
      <c r="H326" s="170"/>
      <c r="I326" s="160" t="s">
        <v>26</v>
      </c>
      <c r="J326" s="161">
        <f>J322+J323+J324+J325</f>
        <v>0</v>
      </c>
      <c r="K326" s="161">
        <f t="shared" ref="K326:N326" si="97">K322+K323+K324+K325</f>
        <v>0</v>
      </c>
      <c r="L326" s="161">
        <f t="shared" si="97"/>
        <v>0</v>
      </c>
      <c r="M326" s="161">
        <f t="shared" si="97"/>
        <v>0</v>
      </c>
      <c r="N326" s="161">
        <f t="shared" si="97"/>
        <v>20000</v>
      </c>
      <c r="O326" s="161">
        <f>O322+O323+O324+O325</f>
        <v>100000</v>
      </c>
      <c r="P326" s="161">
        <f>P322+P323+P324+P325</f>
        <v>500000</v>
      </c>
      <c r="Q326" s="161">
        <f>SUM(Q322:Q325)</f>
        <v>450000</v>
      </c>
      <c r="R326" s="161">
        <f>SUM(R322:R325)</f>
        <v>650000</v>
      </c>
      <c r="S326" s="161"/>
      <c r="T326" s="161"/>
      <c r="U326" s="161"/>
      <c r="V326" s="161"/>
      <c r="W326" s="161"/>
      <c r="X326" s="484"/>
      <c r="Y326" s="40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53">
        <v>22</v>
      </c>
      <c r="B327" s="373" t="s">
        <v>216</v>
      </c>
      <c r="C327" s="375">
        <v>2015</v>
      </c>
      <c r="D327" s="370">
        <v>2029</v>
      </c>
      <c r="E327" s="362" t="s">
        <v>260</v>
      </c>
      <c r="F327" s="419">
        <f>920655+X327</f>
        <v>1420655</v>
      </c>
      <c r="G327" s="354">
        <v>60016</v>
      </c>
      <c r="H327" s="170">
        <v>6050</v>
      </c>
      <c r="I327" s="155" t="s">
        <v>28</v>
      </c>
      <c r="J327" s="199">
        <v>0</v>
      </c>
      <c r="K327" s="157">
        <v>0</v>
      </c>
      <c r="L327" s="164">
        <v>0</v>
      </c>
      <c r="M327" s="164">
        <v>0</v>
      </c>
      <c r="O327" s="157"/>
      <c r="P327" s="157"/>
      <c r="Q327" s="164">
        <v>200000</v>
      </c>
      <c r="R327" s="164">
        <v>300000</v>
      </c>
      <c r="S327" s="199"/>
      <c r="T327" s="199"/>
      <c r="U327" s="199"/>
      <c r="V327" s="199"/>
      <c r="W327" s="199"/>
      <c r="X327" s="484">
        <f>SUM(K331:W331)</f>
        <v>500000</v>
      </c>
      <c r="Y327" s="141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53"/>
      <c r="B328" s="373"/>
      <c r="C328" s="375"/>
      <c r="D328" s="370"/>
      <c r="E328" s="362"/>
      <c r="F328" s="419"/>
      <c r="G328" s="354"/>
      <c r="H328" s="170"/>
      <c r="I328" s="155" t="s">
        <v>31</v>
      </c>
      <c r="J328" s="199"/>
      <c r="K328" s="199"/>
      <c r="L328" s="199"/>
      <c r="M328" s="169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484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2" customHeight="1">
      <c r="A329" s="353"/>
      <c r="B329" s="373"/>
      <c r="C329" s="375"/>
      <c r="D329" s="370"/>
      <c r="E329" s="362"/>
      <c r="F329" s="419"/>
      <c r="G329" s="354"/>
      <c r="H329" s="170"/>
      <c r="I329" s="155" t="s">
        <v>30</v>
      </c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484"/>
      <c r="Y329" s="40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2" customHeight="1">
      <c r="A330" s="353"/>
      <c r="B330" s="373"/>
      <c r="C330" s="375"/>
      <c r="D330" s="370"/>
      <c r="E330" s="362"/>
      <c r="F330" s="419"/>
      <c r="G330" s="354"/>
      <c r="H330" s="170"/>
      <c r="I330" s="155" t="s">
        <v>32</v>
      </c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484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2" customHeight="1">
      <c r="A331" s="353"/>
      <c r="B331" s="373"/>
      <c r="C331" s="375"/>
      <c r="D331" s="370"/>
      <c r="E331" s="362"/>
      <c r="F331" s="419"/>
      <c r="G331" s="354"/>
      <c r="H331" s="170"/>
      <c r="I331" s="222" t="s">
        <v>26</v>
      </c>
      <c r="J331" s="162">
        <f>SUM(J327:J330)</f>
        <v>0</v>
      </c>
      <c r="K331" s="162">
        <f t="shared" ref="K331:W331" si="98">SUM(K327:K330)</f>
        <v>0</v>
      </c>
      <c r="L331" s="162">
        <f t="shared" si="98"/>
        <v>0</v>
      </c>
      <c r="M331" s="162">
        <f t="shared" si="98"/>
        <v>0</v>
      </c>
      <c r="N331" s="162">
        <f t="shared" si="98"/>
        <v>0</v>
      </c>
      <c r="O331" s="162">
        <f>SUM(O327:O330)</f>
        <v>0</v>
      </c>
      <c r="P331" s="162">
        <f>SUM(P327:P330)</f>
        <v>0</v>
      </c>
      <c r="Q331" s="162">
        <f t="shared" si="98"/>
        <v>200000</v>
      </c>
      <c r="R331" s="162">
        <f t="shared" si="98"/>
        <v>300000</v>
      </c>
      <c r="S331" s="162">
        <f t="shared" si="98"/>
        <v>0</v>
      </c>
      <c r="T331" s="162">
        <f t="shared" si="98"/>
        <v>0</v>
      </c>
      <c r="U331" s="162">
        <f t="shared" si="98"/>
        <v>0</v>
      </c>
      <c r="V331" s="162">
        <f t="shared" si="98"/>
        <v>0</v>
      </c>
      <c r="W331" s="162">
        <f t="shared" si="98"/>
        <v>0</v>
      </c>
      <c r="X331" s="484"/>
      <c r="Y331" s="40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53">
        <v>23</v>
      </c>
      <c r="B332" s="374" t="s">
        <v>57</v>
      </c>
      <c r="C332" s="370">
        <v>2020</v>
      </c>
      <c r="D332" s="370">
        <v>2029</v>
      </c>
      <c r="E332" s="362" t="s">
        <v>260</v>
      </c>
      <c r="F332" s="419">
        <f>34563+X332</f>
        <v>834563</v>
      </c>
      <c r="G332" s="354">
        <v>60016</v>
      </c>
      <c r="H332" s="170">
        <v>6050</v>
      </c>
      <c r="I332" s="155" t="s">
        <v>28</v>
      </c>
      <c r="J332" s="164"/>
      <c r="K332" s="164">
        <v>34563</v>
      </c>
      <c r="L332" s="243">
        <v>0</v>
      </c>
      <c r="M332" s="243">
        <v>0</v>
      </c>
      <c r="N332" s="157"/>
      <c r="O332" s="157"/>
      <c r="P332" s="157"/>
      <c r="Q332" s="164">
        <v>350000</v>
      </c>
      <c r="R332" s="164">
        <v>450000</v>
      </c>
      <c r="S332" s="199"/>
      <c r="T332" s="199"/>
      <c r="U332" s="199"/>
      <c r="V332" s="199"/>
      <c r="W332" s="199"/>
      <c r="X332" s="484">
        <f>SUM(L336:W336)</f>
        <v>800000</v>
      </c>
      <c r="Y332" s="141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3.5" customHeight="1">
      <c r="A333" s="353"/>
      <c r="B333" s="374"/>
      <c r="C333" s="370"/>
      <c r="D333" s="370"/>
      <c r="E333" s="362"/>
      <c r="F333" s="419"/>
      <c r="G333" s="354"/>
      <c r="H333" s="170"/>
      <c r="I333" s="155" t="s">
        <v>31</v>
      </c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484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3.5" customHeight="1">
      <c r="A334" s="353"/>
      <c r="B334" s="374"/>
      <c r="C334" s="370"/>
      <c r="D334" s="370"/>
      <c r="E334" s="362"/>
      <c r="F334" s="419"/>
      <c r="G334" s="354"/>
      <c r="H334" s="170"/>
      <c r="I334" s="155" t="s">
        <v>30</v>
      </c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484"/>
      <c r="Y334" s="40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3.5" customHeight="1">
      <c r="A335" s="353"/>
      <c r="B335" s="374"/>
      <c r="C335" s="370"/>
      <c r="D335" s="370"/>
      <c r="E335" s="362"/>
      <c r="F335" s="419"/>
      <c r="G335" s="354"/>
      <c r="H335" s="170"/>
      <c r="I335" s="155" t="s">
        <v>32</v>
      </c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484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8.75" customHeight="1">
      <c r="A336" s="353"/>
      <c r="B336" s="374"/>
      <c r="C336" s="370"/>
      <c r="D336" s="370"/>
      <c r="E336" s="362"/>
      <c r="F336" s="419"/>
      <c r="G336" s="354"/>
      <c r="H336" s="170"/>
      <c r="I336" s="222" t="s">
        <v>26</v>
      </c>
      <c r="J336" s="162">
        <f>J332+J333+J334+J335</f>
        <v>0</v>
      </c>
      <c r="K336" s="162">
        <f t="shared" ref="K336:R336" si="99">K332+K333+K334+K335</f>
        <v>34563</v>
      </c>
      <c r="L336" s="162">
        <f t="shared" si="99"/>
        <v>0</v>
      </c>
      <c r="M336" s="162">
        <f t="shared" si="99"/>
        <v>0</v>
      </c>
      <c r="N336" s="162">
        <f t="shared" si="99"/>
        <v>0</v>
      </c>
      <c r="O336" s="162">
        <f t="shared" si="99"/>
        <v>0</v>
      </c>
      <c r="P336" s="162">
        <f t="shared" si="99"/>
        <v>0</v>
      </c>
      <c r="Q336" s="162">
        <f t="shared" si="99"/>
        <v>350000</v>
      </c>
      <c r="R336" s="162">
        <f t="shared" si="99"/>
        <v>450000</v>
      </c>
      <c r="S336" s="162"/>
      <c r="T336" s="162"/>
      <c r="U336" s="162"/>
      <c r="V336" s="162"/>
      <c r="W336" s="162"/>
      <c r="X336" s="484"/>
      <c r="Y336" s="40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53">
        <v>24</v>
      </c>
      <c r="B337" s="374" t="s">
        <v>58</v>
      </c>
      <c r="C337" s="375">
        <v>2021</v>
      </c>
      <c r="D337" s="370">
        <v>2031</v>
      </c>
      <c r="E337" s="362" t="s">
        <v>260</v>
      </c>
      <c r="F337" s="419">
        <f>80505+X337</f>
        <v>830505</v>
      </c>
      <c r="G337" s="381">
        <v>60016</v>
      </c>
      <c r="H337" s="170">
        <v>6050</v>
      </c>
      <c r="I337" s="155" t="s">
        <v>28</v>
      </c>
      <c r="J337" s="164"/>
      <c r="K337" s="167"/>
      <c r="L337" s="157"/>
      <c r="M337" s="157"/>
      <c r="O337" s="164"/>
      <c r="P337" s="164"/>
      <c r="Q337" s="164">
        <v>0</v>
      </c>
      <c r="R337" s="157">
        <v>0</v>
      </c>
      <c r="S337" s="164">
        <v>350000</v>
      </c>
      <c r="T337" s="164">
        <v>400000</v>
      </c>
      <c r="U337" s="157"/>
      <c r="V337" s="157"/>
      <c r="W337" s="157"/>
      <c r="X337" s="484">
        <f>SUM(L341:W341)</f>
        <v>750000</v>
      </c>
      <c r="Y337" s="141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2.75" customHeight="1">
      <c r="A338" s="353"/>
      <c r="B338" s="374"/>
      <c r="C338" s="375"/>
      <c r="D338" s="370"/>
      <c r="E338" s="362"/>
      <c r="F338" s="419"/>
      <c r="G338" s="381"/>
      <c r="H338" s="170"/>
      <c r="I338" s="155" t="s">
        <v>31</v>
      </c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484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53"/>
      <c r="B339" s="374"/>
      <c r="C339" s="375"/>
      <c r="D339" s="370"/>
      <c r="E339" s="362"/>
      <c r="F339" s="419"/>
      <c r="G339" s="381"/>
      <c r="H339" s="170"/>
      <c r="I339" s="155" t="s">
        <v>30</v>
      </c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484"/>
      <c r="Y339" s="40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2.75" customHeight="1">
      <c r="A340" s="353"/>
      <c r="B340" s="374"/>
      <c r="C340" s="375"/>
      <c r="D340" s="370"/>
      <c r="E340" s="362"/>
      <c r="F340" s="419"/>
      <c r="G340" s="381"/>
      <c r="H340" s="170"/>
      <c r="I340" s="155" t="s">
        <v>32</v>
      </c>
      <c r="J340" s="199"/>
      <c r="K340" s="199"/>
      <c r="L340" s="199"/>
      <c r="M340" s="199"/>
      <c r="N340" s="199"/>
      <c r="O340" s="199"/>
      <c r="P340" s="199"/>
      <c r="Q340" s="199">
        <f t="shared" ref="Q340" si="100">SUM(J340:P340)</f>
        <v>0</v>
      </c>
      <c r="R340" s="199"/>
      <c r="S340" s="199"/>
      <c r="T340" s="199"/>
      <c r="U340" s="199"/>
      <c r="V340" s="199"/>
      <c r="W340" s="199"/>
      <c r="X340" s="484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5.75" customHeight="1">
      <c r="A341" s="353"/>
      <c r="B341" s="374"/>
      <c r="C341" s="375"/>
      <c r="D341" s="370"/>
      <c r="E341" s="362"/>
      <c r="F341" s="419"/>
      <c r="G341" s="381"/>
      <c r="H341" s="170"/>
      <c r="I341" s="222" t="s">
        <v>26</v>
      </c>
      <c r="J341" s="162">
        <f>J337+J338+J339+J340</f>
        <v>0</v>
      </c>
      <c r="K341" s="162">
        <f t="shared" ref="K341:N341" si="101">K337+K338+K339+K340</f>
        <v>0</v>
      </c>
      <c r="L341" s="162">
        <f t="shared" si="101"/>
        <v>0</v>
      </c>
      <c r="M341" s="162">
        <f t="shared" si="101"/>
        <v>0</v>
      </c>
      <c r="N341" s="162">
        <f t="shared" si="101"/>
        <v>0</v>
      </c>
      <c r="O341" s="162">
        <f>SUM(O337:O340)</f>
        <v>0</v>
      </c>
      <c r="P341" s="162">
        <f>SUM(P337:P340)</f>
        <v>0</v>
      </c>
      <c r="Q341" s="161">
        <f>SUM(Q337:Q340)</f>
        <v>0</v>
      </c>
      <c r="R341" s="161">
        <f t="shared" ref="R341:W341" si="102">SUM(R337:R340)</f>
        <v>0</v>
      </c>
      <c r="S341" s="161">
        <f t="shared" si="102"/>
        <v>350000</v>
      </c>
      <c r="T341" s="161">
        <f t="shared" si="102"/>
        <v>400000</v>
      </c>
      <c r="U341" s="161">
        <f t="shared" si="102"/>
        <v>0</v>
      </c>
      <c r="V341" s="161">
        <f t="shared" si="102"/>
        <v>0</v>
      </c>
      <c r="W341" s="161">
        <f t="shared" si="102"/>
        <v>0</v>
      </c>
      <c r="X341" s="484"/>
      <c r="Y341" s="40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53">
        <v>25</v>
      </c>
      <c r="B342" s="374" t="s">
        <v>220</v>
      </c>
      <c r="C342" s="375">
        <v>2022</v>
      </c>
      <c r="D342" s="375">
        <v>2031</v>
      </c>
      <c r="E342" s="362" t="s">
        <v>260</v>
      </c>
      <c r="F342" s="550">
        <f>24700+X342</f>
        <v>1124700</v>
      </c>
      <c r="G342" s="465">
        <v>60016</v>
      </c>
      <c r="H342" s="154">
        <v>6050</v>
      </c>
      <c r="I342" s="291" t="s">
        <v>28</v>
      </c>
      <c r="J342" s="169"/>
      <c r="K342" s="169">
        <v>0</v>
      </c>
      <c r="L342" s="169">
        <v>0</v>
      </c>
      <c r="M342" s="292"/>
      <c r="N342" s="292"/>
      <c r="O342" s="199"/>
      <c r="P342" s="199"/>
      <c r="Q342" s="157">
        <v>0</v>
      </c>
      <c r="R342" s="164">
        <v>200000</v>
      </c>
      <c r="S342" s="164">
        <v>450000</v>
      </c>
      <c r="T342" s="164">
        <v>450000</v>
      </c>
      <c r="U342" s="199"/>
      <c r="V342" s="199"/>
      <c r="W342" s="199"/>
      <c r="X342" s="467">
        <f>SUM(J346:W346)</f>
        <v>1100000</v>
      </c>
      <c r="Y342" s="141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.75" customHeight="1">
      <c r="A343" s="353"/>
      <c r="B343" s="374"/>
      <c r="C343" s="375"/>
      <c r="D343" s="375"/>
      <c r="E343" s="362"/>
      <c r="F343" s="550"/>
      <c r="G343" s="465"/>
      <c r="H343" s="154"/>
      <c r="I343" s="291" t="s">
        <v>31</v>
      </c>
      <c r="J343" s="186"/>
      <c r="K343" s="186"/>
      <c r="L343" s="199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467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.75" customHeight="1">
      <c r="A344" s="353"/>
      <c r="B344" s="374"/>
      <c r="C344" s="375"/>
      <c r="D344" s="375"/>
      <c r="E344" s="362"/>
      <c r="F344" s="550"/>
      <c r="G344" s="465"/>
      <c r="H344" s="154"/>
      <c r="I344" s="291" t="s">
        <v>30</v>
      </c>
      <c r="J344" s="186"/>
      <c r="K344" s="186"/>
      <c r="L344" s="199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467"/>
      <c r="Y344" s="40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.75" customHeight="1">
      <c r="A345" s="353"/>
      <c r="B345" s="374"/>
      <c r="C345" s="375"/>
      <c r="D345" s="375"/>
      <c r="E345" s="362"/>
      <c r="F345" s="550"/>
      <c r="G345" s="465"/>
      <c r="H345" s="154"/>
      <c r="I345" s="291" t="s">
        <v>59</v>
      </c>
      <c r="J345" s="186"/>
      <c r="K345" s="186"/>
      <c r="L345" s="199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467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customHeight="1">
      <c r="A346" s="353"/>
      <c r="B346" s="374"/>
      <c r="C346" s="375"/>
      <c r="D346" s="375"/>
      <c r="E346" s="362"/>
      <c r="F346" s="550"/>
      <c r="G346" s="465"/>
      <c r="H346" s="154"/>
      <c r="I346" s="222" t="s">
        <v>26</v>
      </c>
      <c r="J346" s="162">
        <f>SUM(J342:J345)</f>
        <v>0</v>
      </c>
      <c r="K346" s="162">
        <f>SUM(K342:K345)</f>
        <v>0</v>
      </c>
      <c r="L346" s="162">
        <f>SUM(L342:L345)</f>
        <v>0</v>
      </c>
      <c r="M346" s="162">
        <f>SUM(M342:M345)</f>
        <v>0</v>
      </c>
      <c r="N346" s="162">
        <f>SUM(N342:N345)</f>
        <v>0</v>
      </c>
      <c r="O346" s="162">
        <f t="shared" ref="O346:W346" si="103">SUM(O342:O345)</f>
        <v>0</v>
      </c>
      <c r="P346" s="162">
        <f t="shared" si="103"/>
        <v>0</v>
      </c>
      <c r="Q346" s="162">
        <f t="shared" si="103"/>
        <v>0</v>
      </c>
      <c r="R346" s="162">
        <f t="shared" si="103"/>
        <v>200000</v>
      </c>
      <c r="S346" s="162">
        <f t="shared" si="103"/>
        <v>450000</v>
      </c>
      <c r="T346" s="162">
        <f t="shared" si="103"/>
        <v>450000</v>
      </c>
      <c r="U346" s="162">
        <f t="shared" si="103"/>
        <v>0</v>
      </c>
      <c r="V346" s="162">
        <f t="shared" si="103"/>
        <v>0</v>
      </c>
      <c r="W346" s="162">
        <f t="shared" si="103"/>
        <v>0</v>
      </c>
      <c r="X346" s="467"/>
      <c r="Y346" s="40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53"/>
      <c r="B347" s="378" t="s">
        <v>60</v>
      </c>
      <c r="C347" s="453">
        <v>2020</v>
      </c>
      <c r="D347" s="453">
        <v>2021</v>
      </c>
      <c r="E347" s="466" t="s">
        <v>27</v>
      </c>
      <c r="F347" s="414">
        <f>SUM(J351:P351)</f>
        <v>0</v>
      </c>
      <c r="G347" s="479">
        <v>60016</v>
      </c>
      <c r="H347" s="113">
        <v>6050</v>
      </c>
      <c r="I347" s="114" t="s">
        <v>28</v>
      </c>
      <c r="J347" s="94"/>
      <c r="K347" s="93"/>
      <c r="L347" s="94"/>
      <c r="M347" s="137"/>
      <c r="N347" s="137"/>
      <c r="O347" s="137"/>
      <c r="P347" s="93"/>
      <c r="Q347" s="93"/>
      <c r="R347" s="93"/>
      <c r="S347" s="93"/>
      <c r="T347" s="93"/>
      <c r="U347" s="93"/>
      <c r="V347" s="93"/>
      <c r="W347" s="93"/>
      <c r="X347" s="424">
        <f>SUM(J351:P351)</f>
        <v>0</v>
      </c>
      <c r="Y347" s="141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53"/>
      <c r="B348" s="378"/>
      <c r="C348" s="453"/>
      <c r="D348" s="453"/>
      <c r="E348" s="466"/>
      <c r="F348" s="414"/>
      <c r="G348" s="479"/>
      <c r="H348" s="113"/>
      <c r="I348" s="114" t="s">
        <v>31</v>
      </c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424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53"/>
      <c r="B349" s="378"/>
      <c r="C349" s="453"/>
      <c r="D349" s="453"/>
      <c r="E349" s="466"/>
      <c r="F349" s="414"/>
      <c r="G349" s="479"/>
      <c r="H349" s="113"/>
      <c r="I349" s="114" t="s">
        <v>30</v>
      </c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424"/>
      <c r="Y349" s="40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2" hidden="1" customHeight="1">
      <c r="A350" s="353"/>
      <c r="B350" s="378"/>
      <c r="C350" s="453"/>
      <c r="D350" s="453"/>
      <c r="E350" s="466"/>
      <c r="F350" s="414"/>
      <c r="G350" s="479"/>
      <c r="H350" s="113"/>
      <c r="I350" s="114" t="s">
        <v>32</v>
      </c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424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2" hidden="1" customHeight="1">
      <c r="A351" s="353"/>
      <c r="B351" s="378"/>
      <c r="C351" s="453"/>
      <c r="D351" s="453"/>
      <c r="E351" s="466"/>
      <c r="F351" s="414"/>
      <c r="G351" s="479"/>
      <c r="H351" s="113"/>
      <c r="I351" s="145" t="s">
        <v>26</v>
      </c>
      <c r="J351" s="103">
        <f>SUM(J347:J350)</f>
        <v>0</v>
      </c>
      <c r="K351" s="103">
        <f t="shared" ref="K351:P351" si="104">SUM(K347:K350)</f>
        <v>0</v>
      </c>
      <c r="L351" s="103">
        <f t="shared" si="104"/>
        <v>0</v>
      </c>
      <c r="M351" s="103">
        <f t="shared" si="104"/>
        <v>0</v>
      </c>
      <c r="N351" s="103">
        <f t="shared" si="104"/>
        <v>0</v>
      </c>
      <c r="O351" s="103">
        <f t="shared" si="104"/>
        <v>0</v>
      </c>
      <c r="P351" s="103">
        <f t="shared" si="104"/>
        <v>0</v>
      </c>
      <c r="Q351" s="103"/>
      <c r="R351" s="103"/>
      <c r="S351" s="103"/>
      <c r="T351" s="103"/>
      <c r="U351" s="103"/>
      <c r="V351" s="103"/>
      <c r="W351" s="103"/>
      <c r="X351" s="424"/>
      <c r="Y351" s="40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2" hidden="1" customHeight="1">
      <c r="A352" s="353">
        <v>27</v>
      </c>
      <c r="B352" s="376" t="s">
        <v>61</v>
      </c>
      <c r="C352" s="438">
        <v>2016</v>
      </c>
      <c r="D352" s="438">
        <v>2022</v>
      </c>
      <c r="E352" s="425" t="s">
        <v>27</v>
      </c>
      <c r="F352" s="382">
        <f>X352</f>
        <v>0</v>
      </c>
      <c r="G352" s="465">
        <v>60016</v>
      </c>
      <c r="H352" s="154">
        <v>6050</v>
      </c>
      <c r="I352" s="163" t="s">
        <v>28</v>
      </c>
      <c r="J352" s="164"/>
      <c r="K352" s="164">
        <f>100000-100000</f>
        <v>0</v>
      </c>
      <c r="L352" s="164"/>
      <c r="M352" s="164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366">
        <f>SUM(K356:P356)</f>
        <v>0</v>
      </c>
      <c r="Y352" s="141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5.75" hidden="1" customHeight="1">
      <c r="A353" s="353"/>
      <c r="B353" s="376"/>
      <c r="C353" s="438"/>
      <c r="D353" s="438"/>
      <c r="E353" s="466"/>
      <c r="F353" s="382"/>
      <c r="G353" s="465"/>
      <c r="H353" s="154"/>
      <c r="I353" s="163" t="s">
        <v>31</v>
      </c>
      <c r="J353" s="186"/>
      <c r="K353" s="186"/>
      <c r="L353" s="199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366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0.5" hidden="1" customHeight="1">
      <c r="A354" s="353"/>
      <c r="B354" s="376"/>
      <c r="C354" s="438"/>
      <c r="D354" s="438"/>
      <c r="E354" s="466"/>
      <c r="F354" s="382"/>
      <c r="G354" s="465"/>
      <c r="H354" s="154"/>
      <c r="I354" s="163" t="s">
        <v>30</v>
      </c>
      <c r="J354" s="186"/>
      <c r="K354" s="186"/>
      <c r="L354" s="199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6"/>
      <c r="X354" s="366"/>
      <c r="Y354" s="40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0.5" hidden="1" customHeight="1">
      <c r="A355" s="353"/>
      <c r="B355" s="376"/>
      <c r="C355" s="438"/>
      <c r="D355" s="438"/>
      <c r="E355" s="466"/>
      <c r="F355" s="382"/>
      <c r="G355" s="465"/>
      <c r="H355" s="154"/>
      <c r="I355" s="163" t="s">
        <v>32</v>
      </c>
      <c r="J355" s="186"/>
      <c r="K355" s="186"/>
      <c r="L355" s="199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6"/>
      <c r="X355" s="366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1.25" hidden="1" customHeight="1">
      <c r="A356" s="353"/>
      <c r="B356" s="376"/>
      <c r="C356" s="438"/>
      <c r="D356" s="438"/>
      <c r="E356" s="466"/>
      <c r="F356" s="382"/>
      <c r="G356" s="465"/>
      <c r="H356" s="154"/>
      <c r="I356" s="222" t="s">
        <v>26</v>
      </c>
      <c r="J356" s="162">
        <f>SUM(J352:J355)</f>
        <v>0</v>
      </c>
      <c r="K356" s="162">
        <f t="shared" ref="K356:P356" si="105">SUM(K352:K355)</f>
        <v>0</v>
      </c>
      <c r="L356" s="162">
        <f t="shared" si="105"/>
        <v>0</v>
      </c>
      <c r="M356" s="162">
        <f t="shared" si="105"/>
        <v>0</v>
      </c>
      <c r="N356" s="162">
        <f t="shared" si="105"/>
        <v>0</v>
      </c>
      <c r="O356" s="162">
        <f t="shared" si="105"/>
        <v>0</v>
      </c>
      <c r="P356" s="162">
        <f t="shared" si="105"/>
        <v>0</v>
      </c>
      <c r="Q356" s="162"/>
      <c r="R356" s="162"/>
      <c r="S356" s="162"/>
      <c r="T356" s="162"/>
      <c r="U356" s="162"/>
      <c r="V356" s="162"/>
      <c r="W356" s="162"/>
      <c r="X356" s="366"/>
      <c r="Y356" s="40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53">
        <v>28</v>
      </c>
      <c r="B357" s="376" t="s">
        <v>208</v>
      </c>
      <c r="C357" s="375">
        <v>2017</v>
      </c>
      <c r="D357" s="454">
        <v>2023</v>
      </c>
      <c r="E357" s="472" t="s">
        <v>27</v>
      </c>
      <c r="F357" s="382"/>
      <c r="G357" s="381">
        <v>60016</v>
      </c>
      <c r="H357" s="170">
        <v>6050</v>
      </c>
      <c r="I357" s="155" t="s">
        <v>28</v>
      </c>
      <c r="J357" s="164"/>
      <c r="K357" s="186"/>
      <c r="L357" s="164">
        <v>0</v>
      </c>
      <c r="M357" s="164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66">
        <f>SUM(K361:P361)</f>
        <v>0</v>
      </c>
      <c r="Y357" s="141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53"/>
      <c r="B358" s="376"/>
      <c r="C358" s="375"/>
      <c r="D358" s="454"/>
      <c r="E358" s="472"/>
      <c r="F358" s="382"/>
      <c r="G358" s="381"/>
      <c r="H358" s="170"/>
      <c r="I358" s="155" t="s">
        <v>31</v>
      </c>
      <c r="J358" s="164"/>
      <c r="K358" s="186"/>
      <c r="L358" s="164"/>
      <c r="M358" s="169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366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5" hidden="1" customHeight="1">
      <c r="A359" s="353"/>
      <c r="B359" s="376"/>
      <c r="C359" s="375"/>
      <c r="D359" s="454"/>
      <c r="E359" s="472"/>
      <c r="F359" s="382"/>
      <c r="G359" s="381"/>
      <c r="H359" s="170"/>
      <c r="I359" s="155" t="s">
        <v>30</v>
      </c>
      <c r="J359" s="164"/>
      <c r="K359" s="186"/>
      <c r="L359" s="164"/>
      <c r="M359" s="169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366"/>
      <c r="Y359" s="40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5" hidden="1" customHeight="1">
      <c r="A360" s="353"/>
      <c r="B360" s="376"/>
      <c r="C360" s="375"/>
      <c r="D360" s="454"/>
      <c r="E360" s="472"/>
      <c r="F360" s="382"/>
      <c r="G360" s="381"/>
      <c r="H360" s="170">
        <v>6050</v>
      </c>
      <c r="I360" s="155" t="s">
        <v>105</v>
      </c>
      <c r="J360" s="164"/>
      <c r="K360" s="186"/>
      <c r="L360" s="164"/>
      <c r="M360" s="169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366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5" hidden="1" customHeight="1">
      <c r="A361" s="353"/>
      <c r="B361" s="376"/>
      <c r="C361" s="375"/>
      <c r="D361" s="454"/>
      <c r="E361" s="472"/>
      <c r="F361" s="382"/>
      <c r="G361" s="381"/>
      <c r="H361" s="170"/>
      <c r="I361" s="160" t="s">
        <v>26</v>
      </c>
      <c r="J361" s="161">
        <f t="shared" ref="J361:P361" si="106">SUM(J357:J360)</f>
        <v>0</v>
      </c>
      <c r="K361" s="161">
        <f t="shared" si="106"/>
        <v>0</v>
      </c>
      <c r="L361" s="161">
        <f t="shared" si="106"/>
        <v>0</v>
      </c>
      <c r="M361" s="161">
        <f t="shared" si="106"/>
        <v>0</v>
      </c>
      <c r="N361" s="161">
        <f t="shared" si="106"/>
        <v>0</v>
      </c>
      <c r="O361" s="161">
        <f t="shared" si="106"/>
        <v>0</v>
      </c>
      <c r="P361" s="161">
        <f t="shared" si="106"/>
        <v>0</v>
      </c>
      <c r="Q361" s="161"/>
      <c r="R361" s="161"/>
      <c r="S361" s="161"/>
      <c r="T361" s="161"/>
      <c r="U361" s="161"/>
      <c r="V361" s="161"/>
      <c r="W361" s="161"/>
      <c r="X361" s="366"/>
      <c r="Y361" s="40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53">
        <v>26</v>
      </c>
      <c r="B362" s="374" t="s">
        <v>62</v>
      </c>
      <c r="C362" s="375">
        <v>2017</v>
      </c>
      <c r="D362" s="454">
        <v>2031</v>
      </c>
      <c r="E362" s="362" t="s">
        <v>260</v>
      </c>
      <c r="F362" s="382">
        <f>427004+X362</f>
        <v>827004</v>
      </c>
      <c r="G362" s="381">
        <v>60016</v>
      </c>
      <c r="H362" s="170">
        <v>6050</v>
      </c>
      <c r="I362" s="155" t="s">
        <v>28</v>
      </c>
      <c r="J362" s="164">
        <v>228000</v>
      </c>
      <c r="K362" s="164">
        <v>110000</v>
      </c>
      <c r="L362" s="164"/>
      <c r="M362" s="243">
        <v>0</v>
      </c>
      <c r="N362" s="167"/>
      <c r="O362" s="164"/>
      <c r="P362" s="164"/>
      <c r="Q362" s="164"/>
      <c r="R362" s="164">
        <v>0</v>
      </c>
      <c r="S362" s="164">
        <v>200000</v>
      </c>
      <c r="T362" s="164">
        <v>200000</v>
      </c>
      <c r="U362" s="164"/>
      <c r="V362" s="164"/>
      <c r="W362" s="164"/>
      <c r="X362" s="366">
        <f>SUM(L366:W366)</f>
        <v>400000</v>
      </c>
      <c r="Y362" s="141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" customHeight="1">
      <c r="A363" s="353"/>
      <c r="B363" s="374"/>
      <c r="C363" s="375"/>
      <c r="D363" s="454"/>
      <c r="E363" s="362"/>
      <c r="F363" s="382"/>
      <c r="G363" s="381"/>
      <c r="H363" s="170"/>
      <c r="I363" s="155" t="s">
        <v>31</v>
      </c>
      <c r="J363" s="158"/>
      <c r="K363" s="158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366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" customHeight="1">
      <c r="A364" s="353"/>
      <c r="B364" s="374"/>
      <c r="C364" s="375"/>
      <c r="D364" s="454"/>
      <c r="E364" s="362"/>
      <c r="F364" s="382"/>
      <c r="G364" s="381"/>
      <c r="H364" s="170"/>
      <c r="I364" s="155" t="s">
        <v>30</v>
      </c>
      <c r="J364" s="158"/>
      <c r="K364" s="158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366"/>
      <c r="Y364" s="40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" customHeight="1">
      <c r="A365" s="353"/>
      <c r="B365" s="374"/>
      <c r="C365" s="375"/>
      <c r="D365" s="454"/>
      <c r="E365" s="362"/>
      <c r="F365" s="382"/>
      <c r="G365" s="381"/>
      <c r="H365" s="170"/>
      <c r="I365" s="155" t="s">
        <v>33</v>
      </c>
      <c r="J365" s="158"/>
      <c r="K365" s="158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366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customHeight="1">
      <c r="A366" s="353"/>
      <c r="B366" s="374"/>
      <c r="C366" s="375"/>
      <c r="D366" s="454"/>
      <c r="E366" s="362"/>
      <c r="F366" s="382"/>
      <c r="G366" s="381"/>
      <c r="H366" s="170"/>
      <c r="I366" s="222" t="s">
        <v>26</v>
      </c>
      <c r="J366" s="162">
        <f t="shared" ref="J366:N366" si="107">SUM(J362:J365)</f>
        <v>228000</v>
      </c>
      <c r="K366" s="162">
        <f t="shared" si="107"/>
        <v>110000</v>
      </c>
      <c r="L366" s="162">
        <f t="shared" si="107"/>
        <v>0</v>
      </c>
      <c r="M366" s="162">
        <f t="shared" si="107"/>
        <v>0</v>
      </c>
      <c r="N366" s="162">
        <f t="shared" si="107"/>
        <v>0</v>
      </c>
      <c r="O366" s="162">
        <f>SUM(O362:O365)</f>
        <v>0</v>
      </c>
      <c r="P366" s="162">
        <f>SUM(P362:P365)</f>
        <v>0</v>
      </c>
      <c r="Q366" s="162">
        <f t="shared" ref="Q366:R366" si="108">SUM(Q362:Q365)</f>
        <v>0</v>
      </c>
      <c r="R366" s="162">
        <f t="shared" si="108"/>
        <v>0</v>
      </c>
      <c r="S366" s="162">
        <f t="shared" ref="S366" si="109">SUM(S362:S365)</f>
        <v>200000</v>
      </c>
      <c r="T366" s="162">
        <f t="shared" ref="T366" si="110">SUM(T362:T365)</f>
        <v>200000</v>
      </c>
      <c r="U366" s="162">
        <f t="shared" ref="U366" si="111">SUM(U362:U365)</f>
        <v>0</v>
      </c>
      <c r="V366" s="162">
        <f t="shared" ref="V366" si="112">SUM(V362:V365)</f>
        <v>0</v>
      </c>
      <c r="W366" s="162">
        <f t="shared" ref="W366" si="113">SUM(W362:W365)</f>
        <v>0</v>
      </c>
      <c r="X366" s="366"/>
      <c r="Y366" s="40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53"/>
      <c r="B367" s="378" t="s">
        <v>131</v>
      </c>
      <c r="C367" s="453">
        <v>2017</v>
      </c>
      <c r="D367" s="521">
        <v>2019</v>
      </c>
      <c r="E367" s="486" t="s">
        <v>27</v>
      </c>
      <c r="F367" s="549"/>
      <c r="G367" s="480">
        <v>60016</v>
      </c>
      <c r="H367" s="119">
        <v>6050</v>
      </c>
      <c r="I367" s="92" t="s">
        <v>28</v>
      </c>
      <c r="J367" s="94">
        <v>182000</v>
      </c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72"/>
      <c r="Y367" s="141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53"/>
      <c r="B368" s="378"/>
      <c r="C368" s="453"/>
      <c r="D368" s="521"/>
      <c r="E368" s="486"/>
      <c r="F368" s="549"/>
      <c r="G368" s="480"/>
      <c r="H368" s="119"/>
      <c r="I368" s="92" t="s">
        <v>31</v>
      </c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372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53"/>
      <c r="B369" s="378"/>
      <c r="C369" s="453"/>
      <c r="D369" s="521"/>
      <c r="E369" s="486"/>
      <c r="F369" s="549"/>
      <c r="G369" s="480"/>
      <c r="H369" s="119"/>
      <c r="I369" s="92" t="s">
        <v>30</v>
      </c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372"/>
      <c r="Y369" s="40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2.75" hidden="1" customHeight="1">
      <c r="A370" s="353"/>
      <c r="B370" s="378"/>
      <c r="C370" s="453"/>
      <c r="D370" s="521"/>
      <c r="E370" s="486"/>
      <c r="F370" s="549"/>
      <c r="G370" s="480"/>
      <c r="H370" s="119">
        <v>6050</v>
      </c>
      <c r="I370" s="92" t="s">
        <v>52</v>
      </c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372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2.75" hidden="1" customHeight="1">
      <c r="A371" s="353"/>
      <c r="B371" s="378"/>
      <c r="C371" s="453"/>
      <c r="D371" s="521"/>
      <c r="E371" s="486"/>
      <c r="F371" s="549"/>
      <c r="G371" s="480"/>
      <c r="H371" s="113"/>
      <c r="I371" s="101" t="s">
        <v>26</v>
      </c>
      <c r="J371" s="102">
        <f t="shared" ref="J371:P371" si="114">SUM(J367:J370)</f>
        <v>182000</v>
      </c>
      <c r="K371" s="103">
        <f t="shared" si="114"/>
        <v>0</v>
      </c>
      <c r="L371" s="103">
        <f t="shared" si="114"/>
        <v>0</v>
      </c>
      <c r="M371" s="103">
        <f t="shared" si="114"/>
        <v>0</v>
      </c>
      <c r="N371" s="103">
        <f t="shared" si="114"/>
        <v>0</v>
      </c>
      <c r="O371" s="103">
        <f t="shared" si="114"/>
        <v>0</v>
      </c>
      <c r="P371" s="103">
        <f t="shared" si="114"/>
        <v>0</v>
      </c>
      <c r="Q371" s="103"/>
      <c r="R371" s="103"/>
      <c r="S371" s="103"/>
      <c r="T371" s="103"/>
      <c r="U371" s="103"/>
      <c r="V371" s="103"/>
      <c r="W371" s="103"/>
      <c r="X371" s="372"/>
      <c r="Y371" s="40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2.75" hidden="1" customHeight="1">
      <c r="A372" s="353">
        <v>29</v>
      </c>
      <c r="B372" s="376" t="s">
        <v>81</v>
      </c>
      <c r="C372" s="453">
        <v>2016</v>
      </c>
      <c r="D372" s="521">
        <v>2025</v>
      </c>
      <c r="E372" s="486" t="s">
        <v>27</v>
      </c>
      <c r="F372" s="414">
        <v>0</v>
      </c>
      <c r="G372" s="480">
        <v>60016</v>
      </c>
      <c r="H372" s="113">
        <v>6050</v>
      </c>
      <c r="I372" s="114" t="s">
        <v>28</v>
      </c>
      <c r="J372" s="94">
        <v>39066</v>
      </c>
      <c r="K372" s="94">
        <f>70000-70000</f>
        <v>0</v>
      </c>
      <c r="L372" s="94"/>
      <c r="M372" s="94"/>
      <c r="N372" s="93"/>
      <c r="O372" s="94"/>
      <c r="P372" s="93"/>
      <c r="Q372" s="93"/>
      <c r="R372" s="93"/>
      <c r="S372" s="93"/>
      <c r="T372" s="93"/>
      <c r="U372" s="93"/>
      <c r="V372" s="93"/>
      <c r="W372" s="93"/>
      <c r="X372" s="372">
        <f>SUM(L376:P376)</f>
        <v>0</v>
      </c>
      <c r="Y372" s="141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6.5" hidden="1" customHeight="1">
      <c r="A373" s="353"/>
      <c r="B373" s="376"/>
      <c r="C373" s="453"/>
      <c r="D373" s="521"/>
      <c r="E373" s="486"/>
      <c r="F373" s="414"/>
      <c r="G373" s="480"/>
      <c r="H373" s="119"/>
      <c r="I373" s="92" t="s">
        <v>31</v>
      </c>
      <c r="J373" s="95"/>
      <c r="K373" s="95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372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6.5" hidden="1" customHeight="1">
      <c r="A374" s="353"/>
      <c r="B374" s="376"/>
      <c r="C374" s="453"/>
      <c r="D374" s="521"/>
      <c r="E374" s="486"/>
      <c r="F374" s="414"/>
      <c r="G374" s="480"/>
      <c r="H374" s="119"/>
      <c r="I374" s="92" t="s">
        <v>30</v>
      </c>
      <c r="J374" s="95"/>
      <c r="K374" s="95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372"/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0.5" hidden="1" customHeight="1">
      <c r="A375" s="353"/>
      <c r="B375" s="376"/>
      <c r="C375" s="453"/>
      <c r="D375" s="521"/>
      <c r="E375" s="486"/>
      <c r="F375" s="414"/>
      <c r="G375" s="480"/>
      <c r="H375" s="119"/>
      <c r="I375" s="92" t="s">
        <v>33</v>
      </c>
      <c r="J375" s="95"/>
      <c r="K375" s="95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372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hidden="1" customHeight="1">
      <c r="A376" s="353"/>
      <c r="B376" s="376"/>
      <c r="C376" s="453"/>
      <c r="D376" s="521"/>
      <c r="E376" s="486"/>
      <c r="F376" s="414"/>
      <c r="G376" s="480"/>
      <c r="H376" s="119"/>
      <c r="I376" s="145" t="s">
        <v>26</v>
      </c>
      <c r="J376" s="103">
        <f t="shared" ref="J376:P376" si="115">SUM(J372:J375)</f>
        <v>39066</v>
      </c>
      <c r="K376" s="103">
        <f t="shared" si="115"/>
        <v>0</v>
      </c>
      <c r="L376" s="103">
        <f t="shared" si="115"/>
        <v>0</v>
      </c>
      <c r="M376" s="103">
        <f t="shared" si="115"/>
        <v>0</v>
      </c>
      <c r="N376" s="103">
        <f t="shared" si="115"/>
        <v>0</v>
      </c>
      <c r="O376" s="103">
        <f t="shared" si="115"/>
        <v>0</v>
      </c>
      <c r="P376" s="103">
        <f t="shared" si="115"/>
        <v>0</v>
      </c>
      <c r="Q376" s="103"/>
      <c r="R376" s="103"/>
      <c r="S376" s="103"/>
      <c r="T376" s="103"/>
      <c r="U376" s="103"/>
      <c r="V376" s="103"/>
      <c r="W376" s="103"/>
      <c r="X376" s="372"/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421">
        <v>27</v>
      </c>
      <c r="B377" s="374" t="s">
        <v>147</v>
      </c>
      <c r="C377" s="375">
        <v>2014</v>
      </c>
      <c r="D377" s="454">
        <v>2031</v>
      </c>
      <c r="E377" s="362" t="s">
        <v>260</v>
      </c>
      <c r="F377" s="382">
        <f>60640+X377</f>
        <v>760640</v>
      </c>
      <c r="G377" s="381">
        <v>60016</v>
      </c>
      <c r="H377" s="170">
        <v>6050</v>
      </c>
      <c r="I377" s="155" t="s">
        <v>28</v>
      </c>
      <c r="J377" s="164">
        <v>228000</v>
      </c>
      <c r="K377" s="164">
        <v>110000</v>
      </c>
      <c r="L377" s="164"/>
      <c r="M377" s="243">
        <v>0</v>
      </c>
      <c r="N377" s="244"/>
      <c r="O377" s="245"/>
      <c r="P377" s="164"/>
      <c r="Q377" s="164"/>
      <c r="R377" s="164"/>
      <c r="S377" s="164">
        <v>300000</v>
      </c>
      <c r="T377" s="164">
        <v>400000</v>
      </c>
      <c r="U377" s="164"/>
      <c r="V377" s="164"/>
      <c r="W377" s="164"/>
      <c r="X377" s="366">
        <f>SUM(L381:W381)</f>
        <v>700000</v>
      </c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2" customHeight="1">
      <c r="A378" s="422"/>
      <c r="B378" s="374"/>
      <c r="C378" s="375"/>
      <c r="D378" s="454"/>
      <c r="E378" s="362"/>
      <c r="F378" s="382"/>
      <c r="G378" s="381"/>
      <c r="H378" s="170"/>
      <c r="I378" s="155" t="s">
        <v>31</v>
      </c>
      <c r="J378" s="158"/>
      <c r="K378" s="158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366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422"/>
      <c r="B379" s="374"/>
      <c r="C379" s="375"/>
      <c r="D379" s="454"/>
      <c r="E379" s="362"/>
      <c r="F379" s="382"/>
      <c r="G379" s="381"/>
      <c r="H379" s="170"/>
      <c r="I379" s="155" t="s">
        <v>30</v>
      </c>
      <c r="J379" s="158"/>
      <c r="K379" s="158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366"/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2" customHeight="1">
      <c r="A380" s="422"/>
      <c r="B380" s="374"/>
      <c r="C380" s="375"/>
      <c r="D380" s="454"/>
      <c r="E380" s="362"/>
      <c r="F380" s="382"/>
      <c r="G380" s="381"/>
      <c r="H380" s="170"/>
      <c r="I380" s="155" t="s">
        <v>33</v>
      </c>
      <c r="J380" s="158"/>
      <c r="K380" s="158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366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1.25" customHeight="1">
      <c r="A381" s="423"/>
      <c r="B381" s="374"/>
      <c r="C381" s="375"/>
      <c r="D381" s="454"/>
      <c r="E381" s="362"/>
      <c r="F381" s="382"/>
      <c r="G381" s="381"/>
      <c r="H381" s="170"/>
      <c r="I381" s="222" t="s">
        <v>26</v>
      </c>
      <c r="J381" s="162">
        <f t="shared" ref="J381:N381" si="116">SUM(J377:J380)</f>
        <v>228000</v>
      </c>
      <c r="K381" s="162">
        <f t="shared" si="116"/>
        <v>110000</v>
      </c>
      <c r="L381" s="162">
        <f t="shared" si="116"/>
        <v>0</v>
      </c>
      <c r="M381" s="162">
        <f t="shared" si="116"/>
        <v>0</v>
      </c>
      <c r="N381" s="162">
        <f t="shared" si="116"/>
        <v>0</v>
      </c>
      <c r="O381" s="162">
        <f>SUM(O377:O380)</f>
        <v>0</v>
      </c>
      <c r="P381" s="162">
        <f>SUM(P377:P380)</f>
        <v>0</v>
      </c>
      <c r="Q381" s="162">
        <f t="shared" ref="Q381:W381" si="117">SUM(Q377:Q380)</f>
        <v>0</v>
      </c>
      <c r="R381" s="162">
        <f t="shared" si="117"/>
        <v>0</v>
      </c>
      <c r="S381" s="162">
        <f t="shared" si="117"/>
        <v>300000</v>
      </c>
      <c r="T381" s="162">
        <f t="shared" si="117"/>
        <v>400000</v>
      </c>
      <c r="U381" s="162">
        <f t="shared" si="117"/>
        <v>0</v>
      </c>
      <c r="V381" s="162">
        <f t="shared" si="117"/>
        <v>0</v>
      </c>
      <c r="W381" s="162">
        <f t="shared" si="117"/>
        <v>0</v>
      </c>
      <c r="X381" s="366"/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53">
        <v>28</v>
      </c>
      <c r="B382" s="373" t="s">
        <v>187</v>
      </c>
      <c r="C382" s="370">
        <v>2024</v>
      </c>
      <c r="D382" s="454">
        <v>2027</v>
      </c>
      <c r="E382" s="362" t="s">
        <v>260</v>
      </c>
      <c r="F382" s="382">
        <f>X382+175000</f>
        <v>1220000</v>
      </c>
      <c r="G382" s="381">
        <v>60016</v>
      </c>
      <c r="H382" s="170">
        <v>6050</v>
      </c>
      <c r="I382" s="163" t="s">
        <v>28</v>
      </c>
      <c r="J382" s="164">
        <v>40363</v>
      </c>
      <c r="K382" s="157">
        <v>0</v>
      </c>
      <c r="L382" s="164">
        <v>0</v>
      </c>
      <c r="M382" s="164"/>
      <c r="N382" s="164">
        <v>25000</v>
      </c>
      <c r="O382" s="164">
        <v>120000</v>
      </c>
      <c r="P382" s="164">
        <v>900000</v>
      </c>
      <c r="Q382" s="164">
        <v>0</v>
      </c>
      <c r="R382" s="164">
        <v>0</v>
      </c>
      <c r="S382" s="164"/>
      <c r="T382" s="157"/>
      <c r="U382" s="157"/>
      <c r="V382" s="157"/>
      <c r="W382" s="157"/>
      <c r="X382" s="366">
        <f>SUM(L386:W386)</f>
        <v>1045000</v>
      </c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53"/>
      <c r="B383" s="373"/>
      <c r="C383" s="370"/>
      <c r="D383" s="454"/>
      <c r="E383" s="362"/>
      <c r="F383" s="382"/>
      <c r="G383" s="381"/>
      <c r="H383" s="170"/>
      <c r="I383" s="155" t="s">
        <v>31</v>
      </c>
      <c r="J383" s="157"/>
      <c r="K383" s="158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366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" customHeight="1">
      <c r="A384" s="353"/>
      <c r="B384" s="373"/>
      <c r="C384" s="370"/>
      <c r="D384" s="454"/>
      <c r="E384" s="362"/>
      <c r="F384" s="382"/>
      <c r="G384" s="381"/>
      <c r="H384" s="170"/>
      <c r="I384" s="155" t="s">
        <v>33</v>
      </c>
      <c r="J384" s="157"/>
      <c r="K384" s="156">
        <v>12000</v>
      </c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366"/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" customHeight="1">
      <c r="A385" s="353"/>
      <c r="B385" s="373"/>
      <c r="C385" s="370"/>
      <c r="D385" s="454"/>
      <c r="E385" s="362"/>
      <c r="F385" s="382"/>
      <c r="G385" s="381"/>
      <c r="I385" s="155" t="s">
        <v>70</v>
      </c>
      <c r="J385" s="157">
        <v>17323</v>
      </c>
      <c r="K385" s="158">
        <v>16166</v>
      </c>
      <c r="L385" s="158"/>
      <c r="M385" s="187">
        <v>0</v>
      </c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366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" customHeight="1">
      <c r="A386" s="353"/>
      <c r="B386" s="373"/>
      <c r="C386" s="370"/>
      <c r="D386" s="454"/>
      <c r="E386" s="362"/>
      <c r="F386" s="382"/>
      <c r="G386" s="381"/>
      <c r="H386" s="170"/>
      <c r="I386" s="160" t="s">
        <v>26</v>
      </c>
      <c r="J386" s="161">
        <f>SUM(J382:J385)</f>
        <v>57686</v>
      </c>
      <c r="K386" s="162">
        <f t="shared" ref="K386:W386" si="118">SUM(K382:K385)</f>
        <v>28166</v>
      </c>
      <c r="L386" s="162">
        <f t="shared" si="118"/>
        <v>0</v>
      </c>
      <c r="M386" s="162">
        <f t="shared" si="118"/>
        <v>0</v>
      </c>
      <c r="N386" s="162">
        <f t="shared" si="118"/>
        <v>25000</v>
      </c>
      <c r="O386" s="162">
        <f t="shared" si="118"/>
        <v>120000</v>
      </c>
      <c r="P386" s="162">
        <f t="shared" si="118"/>
        <v>900000</v>
      </c>
      <c r="Q386" s="162">
        <f t="shared" si="118"/>
        <v>0</v>
      </c>
      <c r="R386" s="162">
        <f t="shared" si="118"/>
        <v>0</v>
      </c>
      <c r="S386" s="162">
        <f t="shared" si="118"/>
        <v>0</v>
      </c>
      <c r="T386" s="162">
        <f t="shared" si="118"/>
        <v>0</v>
      </c>
      <c r="U386" s="162">
        <f t="shared" si="118"/>
        <v>0</v>
      </c>
      <c r="V386" s="162">
        <f t="shared" si="118"/>
        <v>0</v>
      </c>
      <c r="W386" s="162">
        <f t="shared" si="118"/>
        <v>0</v>
      </c>
      <c r="X386" s="366"/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53">
        <v>29</v>
      </c>
      <c r="B387" s="373" t="s">
        <v>186</v>
      </c>
      <c r="C387" s="375">
        <v>2023</v>
      </c>
      <c r="D387" s="454">
        <v>2027</v>
      </c>
      <c r="E387" s="362" t="s">
        <v>260</v>
      </c>
      <c r="F387" s="382">
        <f>X387</f>
        <v>1200000</v>
      </c>
      <c r="G387" s="381">
        <v>60016</v>
      </c>
      <c r="H387" s="170">
        <v>6050</v>
      </c>
      <c r="I387" s="163" t="s">
        <v>28</v>
      </c>
      <c r="J387" s="164">
        <v>40363</v>
      </c>
      <c r="K387" s="157">
        <v>0</v>
      </c>
      <c r="L387" s="164">
        <v>0</v>
      </c>
      <c r="M387" s="164">
        <v>0</v>
      </c>
      <c r="N387" s="164">
        <v>0</v>
      </c>
      <c r="O387" s="164">
        <v>100000</v>
      </c>
      <c r="P387" s="164">
        <v>1100000</v>
      </c>
      <c r="R387" s="164"/>
      <c r="S387" s="164"/>
      <c r="T387" s="157"/>
      <c r="U387" s="157"/>
      <c r="V387" s="157"/>
      <c r="W387" s="157"/>
      <c r="X387" s="366">
        <f>SUM(L391:W391)</f>
        <v>1200000</v>
      </c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.6" customHeight="1">
      <c r="A388" s="353"/>
      <c r="B388" s="373"/>
      <c r="C388" s="375"/>
      <c r="D388" s="454"/>
      <c r="E388" s="362"/>
      <c r="F388" s="382"/>
      <c r="G388" s="381"/>
      <c r="H388" s="170"/>
      <c r="I388" s="155" t="s">
        <v>31</v>
      </c>
      <c r="J388" s="157"/>
      <c r="K388" s="158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366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2.6" customHeight="1">
      <c r="A389" s="353"/>
      <c r="B389" s="373"/>
      <c r="C389" s="375"/>
      <c r="D389" s="454"/>
      <c r="E389" s="362"/>
      <c r="F389" s="382"/>
      <c r="G389" s="381"/>
      <c r="H389" s="170"/>
      <c r="I389" s="155" t="s">
        <v>33</v>
      </c>
      <c r="J389" s="157"/>
      <c r="K389" s="156">
        <v>12000</v>
      </c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366"/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2.6" customHeight="1">
      <c r="A390" s="353"/>
      <c r="B390" s="373"/>
      <c r="C390" s="375"/>
      <c r="D390" s="454"/>
      <c r="E390" s="362"/>
      <c r="F390" s="382"/>
      <c r="G390" s="381"/>
      <c r="I390" s="155" t="s">
        <v>70</v>
      </c>
      <c r="J390" s="157">
        <v>17323</v>
      </c>
      <c r="K390" s="158">
        <v>16166</v>
      </c>
      <c r="L390" s="158"/>
      <c r="M390" s="187">
        <v>0</v>
      </c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366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2" customHeight="1">
      <c r="A391" s="353"/>
      <c r="B391" s="373"/>
      <c r="C391" s="375"/>
      <c r="D391" s="454"/>
      <c r="E391" s="362"/>
      <c r="F391" s="382"/>
      <c r="G391" s="381"/>
      <c r="H391" s="170"/>
      <c r="I391" s="160" t="s">
        <v>26</v>
      </c>
      <c r="J391" s="161">
        <f>SUM(J387:J390)</f>
        <v>57686</v>
      </c>
      <c r="K391" s="162">
        <f t="shared" ref="K391:W391" si="119">SUM(K387:K390)</f>
        <v>28166</v>
      </c>
      <c r="L391" s="162">
        <f t="shared" si="119"/>
        <v>0</v>
      </c>
      <c r="M391" s="162">
        <f t="shared" si="119"/>
        <v>0</v>
      </c>
      <c r="N391" s="162">
        <f>SUM(N387:N390)</f>
        <v>0</v>
      </c>
      <c r="O391" s="162">
        <f t="shared" si="119"/>
        <v>100000</v>
      </c>
      <c r="P391" s="162">
        <f t="shared" si="119"/>
        <v>1100000</v>
      </c>
      <c r="Q391" s="162">
        <f t="shared" si="119"/>
        <v>0</v>
      </c>
      <c r="R391" s="162">
        <f t="shared" si="119"/>
        <v>0</v>
      </c>
      <c r="S391" s="162">
        <f t="shared" si="119"/>
        <v>0</v>
      </c>
      <c r="T391" s="162">
        <f t="shared" si="119"/>
        <v>0</v>
      </c>
      <c r="U391" s="162">
        <f t="shared" si="119"/>
        <v>0</v>
      </c>
      <c r="V391" s="162">
        <f t="shared" si="119"/>
        <v>0</v>
      </c>
      <c r="W391" s="162">
        <f t="shared" si="119"/>
        <v>0</v>
      </c>
      <c r="X391" s="366"/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53">
        <v>30</v>
      </c>
      <c r="B392" s="374" t="s">
        <v>185</v>
      </c>
      <c r="C392" s="375">
        <v>2022</v>
      </c>
      <c r="D392" s="454">
        <v>2030</v>
      </c>
      <c r="E392" s="362" t="s">
        <v>260</v>
      </c>
      <c r="F392" s="382">
        <f>81574+X392</f>
        <v>1881574</v>
      </c>
      <c r="G392" s="381">
        <v>60016</v>
      </c>
      <c r="H392" s="170">
        <v>6050</v>
      </c>
      <c r="I392" s="163" t="s">
        <v>28</v>
      </c>
      <c r="J392" s="164">
        <v>40363</v>
      </c>
      <c r="K392" s="157">
        <v>0</v>
      </c>
      <c r="L392" s="164">
        <v>0</v>
      </c>
      <c r="M392" s="164"/>
      <c r="N392" s="157"/>
      <c r="O392" s="157"/>
      <c r="P392" s="164">
        <v>200000</v>
      </c>
      <c r="Q392" s="164">
        <v>500000</v>
      </c>
      <c r="R392" s="164">
        <v>480000</v>
      </c>
      <c r="S392" s="164">
        <v>620000</v>
      </c>
      <c r="T392" s="157"/>
      <c r="U392" s="157"/>
      <c r="V392" s="157"/>
      <c r="W392" s="157"/>
      <c r="X392" s="366">
        <f>SUM(L396:W396)</f>
        <v>1800000</v>
      </c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3.15" customHeight="1">
      <c r="A393" s="353"/>
      <c r="B393" s="374"/>
      <c r="C393" s="375"/>
      <c r="D393" s="454"/>
      <c r="E393" s="362"/>
      <c r="F393" s="382"/>
      <c r="G393" s="381"/>
      <c r="H393" s="170"/>
      <c r="I393" s="155" t="s">
        <v>31</v>
      </c>
      <c r="J393" s="157"/>
      <c r="K393" s="158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366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53"/>
      <c r="B394" s="374"/>
      <c r="C394" s="375"/>
      <c r="D394" s="454"/>
      <c r="E394" s="362"/>
      <c r="F394" s="382"/>
      <c r="G394" s="381"/>
      <c r="H394" s="170"/>
      <c r="I394" s="155" t="s">
        <v>33</v>
      </c>
      <c r="J394" s="157"/>
      <c r="K394" s="156">
        <v>12000</v>
      </c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366"/>
      <c r="Y394" s="40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3.15" customHeight="1">
      <c r="A395" s="353"/>
      <c r="B395" s="374"/>
      <c r="C395" s="375"/>
      <c r="D395" s="454"/>
      <c r="E395" s="362"/>
      <c r="F395" s="382"/>
      <c r="G395" s="381"/>
      <c r="I395" s="155" t="s">
        <v>70</v>
      </c>
      <c r="J395" s="157">
        <v>17323</v>
      </c>
      <c r="K395" s="158">
        <v>16166</v>
      </c>
      <c r="L395" s="158"/>
      <c r="M395" s="187">
        <v>0</v>
      </c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366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1.25" customHeight="1">
      <c r="A396" s="353"/>
      <c r="B396" s="374"/>
      <c r="C396" s="375"/>
      <c r="D396" s="454"/>
      <c r="E396" s="362"/>
      <c r="F396" s="382"/>
      <c r="G396" s="381"/>
      <c r="H396" s="170"/>
      <c r="I396" s="160" t="s">
        <v>26</v>
      </c>
      <c r="J396" s="161">
        <f>SUM(J392:J395)</f>
        <v>57686</v>
      </c>
      <c r="K396" s="162">
        <f t="shared" ref="K396:W396" si="120">SUM(K392:K395)</f>
        <v>28166</v>
      </c>
      <c r="L396" s="162">
        <f t="shared" si="120"/>
        <v>0</v>
      </c>
      <c r="M396" s="162">
        <f t="shared" si="120"/>
        <v>0</v>
      </c>
      <c r="N396" s="162">
        <f t="shared" si="120"/>
        <v>0</v>
      </c>
      <c r="O396" s="162">
        <f t="shared" si="120"/>
        <v>0</v>
      </c>
      <c r="P396" s="162">
        <f t="shared" si="120"/>
        <v>200000</v>
      </c>
      <c r="Q396" s="162">
        <f t="shared" si="120"/>
        <v>500000</v>
      </c>
      <c r="R396" s="162">
        <f t="shared" si="120"/>
        <v>480000</v>
      </c>
      <c r="S396" s="162">
        <f t="shared" si="120"/>
        <v>620000</v>
      </c>
      <c r="T396" s="162">
        <f t="shared" si="120"/>
        <v>0</v>
      </c>
      <c r="U396" s="162">
        <f t="shared" si="120"/>
        <v>0</v>
      </c>
      <c r="V396" s="162">
        <f t="shared" si="120"/>
        <v>0</v>
      </c>
      <c r="W396" s="162">
        <f t="shared" si="120"/>
        <v>0</v>
      </c>
      <c r="X396" s="366"/>
      <c r="Y396" s="40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53">
        <v>31</v>
      </c>
      <c r="B397" s="373" t="s">
        <v>212</v>
      </c>
      <c r="C397" s="375">
        <v>2024</v>
      </c>
      <c r="D397" s="454">
        <v>2026</v>
      </c>
      <c r="E397" s="362" t="s">
        <v>260</v>
      </c>
      <c r="F397" s="382">
        <f>X397</f>
        <v>100000</v>
      </c>
      <c r="G397" s="381">
        <v>60016</v>
      </c>
      <c r="H397" s="170">
        <v>6050</v>
      </c>
      <c r="I397" s="163" t="s">
        <v>28</v>
      </c>
      <c r="J397" s="164">
        <v>40363</v>
      </c>
      <c r="K397" s="157">
        <v>0</v>
      </c>
      <c r="L397" s="164">
        <v>0</v>
      </c>
      <c r="M397" s="164"/>
      <c r="N397" s="164">
        <v>0</v>
      </c>
      <c r="O397" s="164">
        <v>100000</v>
      </c>
      <c r="P397" s="157"/>
      <c r="Q397" s="157"/>
      <c r="R397" s="157"/>
      <c r="S397" s="157"/>
      <c r="T397" s="157"/>
      <c r="U397" s="157"/>
      <c r="V397" s="157"/>
      <c r="W397" s="157"/>
      <c r="X397" s="366">
        <f>SUM(L401:W401)</f>
        <v>100000</v>
      </c>
      <c r="Y397" s="141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15" customHeight="1">
      <c r="A398" s="353"/>
      <c r="B398" s="373"/>
      <c r="C398" s="375"/>
      <c r="D398" s="454"/>
      <c r="E398" s="362"/>
      <c r="F398" s="382"/>
      <c r="G398" s="381"/>
      <c r="H398" s="170"/>
      <c r="I398" s="155" t="s">
        <v>31</v>
      </c>
      <c r="J398" s="157"/>
      <c r="K398" s="158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366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3.15" customHeight="1">
      <c r="A399" s="353"/>
      <c r="B399" s="373"/>
      <c r="C399" s="375"/>
      <c r="D399" s="454"/>
      <c r="E399" s="362"/>
      <c r="F399" s="382"/>
      <c r="G399" s="381"/>
      <c r="H399" s="170"/>
      <c r="I399" s="155" t="s">
        <v>33</v>
      </c>
      <c r="J399" s="157"/>
      <c r="K399" s="156">
        <v>12000</v>
      </c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366"/>
      <c r="Y399" s="40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3.15" customHeight="1">
      <c r="A400" s="353"/>
      <c r="B400" s="373"/>
      <c r="C400" s="375"/>
      <c r="D400" s="454"/>
      <c r="E400" s="362"/>
      <c r="F400" s="382"/>
      <c r="G400" s="381"/>
      <c r="I400" s="155" t="s">
        <v>70</v>
      </c>
      <c r="J400" s="157">
        <v>17323</v>
      </c>
      <c r="K400" s="158">
        <v>16166</v>
      </c>
      <c r="L400" s="158"/>
      <c r="M400" s="156">
        <v>0</v>
      </c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366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3.9" customHeight="1">
      <c r="A401" s="353"/>
      <c r="B401" s="373"/>
      <c r="C401" s="375"/>
      <c r="D401" s="454"/>
      <c r="E401" s="362"/>
      <c r="F401" s="382"/>
      <c r="G401" s="381"/>
      <c r="H401" s="170"/>
      <c r="I401" s="160" t="s">
        <v>26</v>
      </c>
      <c r="J401" s="161">
        <f>SUM(J397:J400)</f>
        <v>57686</v>
      </c>
      <c r="K401" s="162">
        <f t="shared" ref="K401:P401" si="121">SUM(K397:K400)</f>
        <v>28166</v>
      </c>
      <c r="L401" s="162">
        <f t="shared" si="121"/>
        <v>0</v>
      </c>
      <c r="M401" s="162">
        <f t="shared" si="121"/>
        <v>0</v>
      </c>
      <c r="N401" s="162">
        <f t="shared" si="121"/>
        <v>0</v>
      </c>
      <c r="O401" s="162">
        <f t="shared" si="121"/>
        <v>100000</v>
      </c>
      <c r="P401" s="162">
        <f t="shared" si="121"/>
        <v>0</v>
      </c>
      <c r="Q401" s="162"/>
      <c r="R401" s="162"/>
      <c r="S401" s="162"/>
      <c r="T401" s="162"/>
      <c r="U401" s="162"/>
      <c r="V401" s="162"/>
      <c r="W401" s="162"/>
      <c r="X401" s="366"/>
      <c r="Y401" s="40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53">
        <v>32</v>
      </c>
      <c r="B402" s="376" t="s">
        <v>209</v>
      </c>
      <c r="C402" s="375">
        <v>2018</v>
      </c>
      <c r="D402" s="454">
        <v>2022</v>
      </c>
      <c r="E402" s="472" t="s">
        <v>27</v>
      </c>
      <c r="F402" s="382">
        <f>X402</f>
        <v>0</v>
      </c>
      <c r="G402" s="381">
        <v>60016</v>
      </c>
      <c r="H402" s="154">
        <v>6050</v>
      </c>
      <c r="I402" s="163" t="s">
        <v>28</v>
      </c>
      <c r="J402" s="167"/>
      <c r="K402" s="164"/>
      <c r="L402" s="164"/>
      <c r="M402" s="164"/>
      <c r="N402" s="167"/>
      <c r="O402" s="157"/>
      <c r="P402" s="157"/>
      <c r="Q402" s="157"/>
      <c r="R402" s="157"/>
      <c r="S402" s="157"/>
      <c r="T402" s="157"/>
      <c r="U402" s="157"/>
      <c r="V402" s="157"/>
      <c r="W402" s="157"/>
      <c r="X402" s="366">
        <f>SUM(L406:P406)</f>
        <v>0</v>
      </c>
      <c r="Y402" s="141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53"/>
      <c r="B403" s="376"/>
      <c r="C403" s="375"/>
      <c r="D403" s="454"/>
      <c r="E403" s="472"/>
      <c r="F403" s="382"/>
      <c r="G403" s="381"/>
      <c r="H403" s="170"/>
      <c r="I403" s="155" t="s">
        <v>31</v>
      </c>
      <c r="J403" s="157"/>
      <c r="K403" s="158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366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1.25" hidden="1" customHeight="1">
      <c r="A404" s="353"/>
      <c r="B404" s="376"/>
      <c r="C404" s="375"/>
      <c r="D404" s="454"/>
      <c r="E404" s="472"/>
      <c r="F404" s="382"/>
      <c r="G404" s="381"/>
      <c r="H404" s="170"/>
      <c r="I404" s="155" t="s">
        <v>30</v>
      </c>
      <c r="J404" s="157"/>
      <c r="K404" s="158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366"/>
      <c r="Y404" s="40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1.25" hidden="1" customHeight="1">
      <c r="A405" s="353"/>
      <c r="B405" s="376"/>
      <c r="C405" s="375"/>
      <c r="D405" s="454"/>
      <c r="E405" s="472"/>
      <c r="F405" s="382"/>
      <c r="G405" s="381"/>
      <c r="H405" s="170"/>
      <c r="I405" s="155" t="s">
        <v>32</v>
      </c>
      <c r="J405" s="157"/>
      <c r="K405" s="158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366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1.25" hidden="1" customHeight="1">
      <c r="A406" s="353"/>
      <c r="B406" s="376"/>
      <c r="C406" s="375"/>
      <c r="D406" s="454"/>
      <c r="E406" s="472"/>
      <c r="F406" s="382"/>
      <c r="G406" s="381"/>
      <c r="H406" s="170"/>
      <c r="I406" s="160" t="s">
        <v>26</v>
      </c>
      <c r="J406" s="161">
        <f>SUM(J402:J405)</f>
        <v>0</v>
      </c>
      <c r="K406" s="161">
        <f t="shared" ref="K406:P406" si="122">SUM(K402:K405)</f>
        <v>0</v>
      </c>
      <c r="L406" s="161">
        <f>SUM(L402:L405)</f>
        <v>0</v>
      </c>
      <c r="M406" s="161">
        <f t="shared" si="122"/>
        <v>0</v>
      </c>
      <c r="N406" s="162">
        <f>SUM(N402:N405)</f>
        <v>0</v>
      </c>
      <c r="O406" s="162">
        <f t="shared" si="122"/>
        <v>0</v>
      </c>
      <c r="P406" s="162">
        <f t="shared" si="122"/>
        <v>0</v>
      </c>
      <c r="Q406" s="162"/>
      <c r="R406" s="162"/>
      <c r="S406" s="162"/>
      <c r="T406" s="162"/>
      <c r="U406" s="162"/>
      <c r="V406" s="162"/>
      <c r="W406" s="162"/>
      <c r="X406" s="366"/>
      <c r="Y406" s="40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53">
        <v>32</v>
      </c>
      <c r="B407" s="374" t="s">
        <v>218</v>
      </c>
      <c r="C407" s="455">
        <v>2021</v>
      </c>
      <c r="D407" s="455">
        <v>2031</v>
      </c>
      <c r="E407" s="362" t="s">
        <v>260</v>
      </c>
      <c r="F407" s="382">
        <f>20000+X407</f>
        <v>870000</v>
      </c>
      <c r="G407" s="377">
        <v>60016</v>
      </c>
      <c r="H407" s="165">
        <v>6050</v>
      </c>
      <c r="I407" s="183" t="s">
        <v>28</v>
      </c>
      <c r="J407" s="164">
        <v>353900</v>
      </c>
      <c r="K407" s="199"/>
      <c r="L407" s="199"/>
      <c r="M407" s="199"/>
      <c r="N407" s="199"/>
      <c r="O407" s="199"/>
      <c r="P407" s="199"/>
      <c r="Q407" s="199">
        <v>0</v>
      </c>
      <c r="R407" s="169">
        <v>300000</v>
      </c>
      <c r="S407" s="169">
        <v>350000</v>
      </c>
      <c r="T407" s="169">
        <v>200000</v>
      </c>
      <c r="U407" s="199"/>
      <c r="V407" s="199"/>
      <c r="W407" s="199"/>
      <c r="X407" s="366">
        <f>SUM(L411:W411)</f>
        <v>850000</v>
      </c>
      <c r="Y407" s="141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3.9" customHeight="1">
      <c r="A408" s="353"/>
      <c r="B408" s="374"/>
      <c r="C408" s="455"/>
      <c r="D408" s="455"/>
      <c r="E408" s="362"/>
      <c r="F408" s="382"/>
      <c r="G408" s="377"/>
      <c r="H408" s="165">
        <v>6050</v>
      </c>
      <c r="I408" s="183" t="s">
        <v>98</v>
      </c>
      <c r="J408" s="164">
        <v>200000</v>
      </c>
      <c r="K408" s="199"/>
      <c r="L408" s="199"/>
      <c r="M408" s="199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366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3.9" customHeight="1">
      <c r="A409" s="353"/>
      <c r="B409" s="374"/>
      <c r="C409" s="455"/>
      <c r="D409" s="455"/>
      <c r="E409" s="362"/>
      <c r="F409" s="382"/>
      <c r="G409" s="377"/>
      <c r="H409" s="165"/>
      <c r="I409" s="183" t="s">
        <v>30</v>
      </c>
      <c r="J409" s="169"/>
      <c r="K409" s="199"/>
      <c r="L409" s="199"/>
      <c r="M409" s="199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366"/>
      <c r="Y409" s="40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3.9" customHeight="1">
      <c r="A410" s="353"/>
      <c r="B410" s="374"/>
      <c r="C410" s="455"/>
      <c r="D410" s="455"/>
      <c r="E410" s="362"/>
      <c r="F410" s="382"/>
      <c r="G410" s="377"/>
      <c r="H410" s="165">
        <v>6050</v>
      </c>
      <c r="I410" s="163" t="s">
        <v>82</v>
      </c>
      <c r="J410" s="157">
        <v>353900</v>
      </c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366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0.5" customHeight="1">
      <c r="A411" s="353"/>
      <c r="B411" s="374"/>
      <c r="C411" s="455"/>
      <c r="D411" s="455"/>
      <c r="E411" s="362"/>
      <c r="F411" s="382"/>
      <c r="G411" s="377"/>
      <c r="H411" s="165"/>
      <c r="I411" s="191" t="s">
        <v>26</v>
      </c>
      <c r="J411" s="161">
        <f>SUM(J407:J410)</f>
        <v>907800</v>
      </c>
      <c r="K411" s="161">
        <f t="shared" ref="K411:W411" si="123">SUM(K407:K410)</f>
        <v>0</v>
      </c>
      <c r="L411" s="161">
        <f t="shared" si="123"/>
        <v>0</v>
      </c>
      <c r="M411" s="161">
        <f t="shared" si="123"/>
        <v>0</v>
      </c>
      <c r="N411" s="161">
        <f t="shared" si="123"/>
        <v>0</v>
      </c>
      <c r="O411" s="161">
        <f t="shared" si="123"/>
        <v>0</v>
      </c>
      <c r="P411" s="161">
        <f t="shared" si="123"/>
        <v>0</v>
      </c>
      <c r="Q411" s="161">
        <f t="shared" si="123"/>
        <v>0</v>
      </c>
      <c r="R411" s="161">
        <f t="shared" si="123"/>
        <v>300000</v>
      </c>
      <c r="S411" s="161">
        <f t="shared" si="123"/>
        <v>350000</v>
      </c>
      <c r="T411" s="161">
        <f t="shared" si="123"/>
        <v>200000</v>
      </c>
      <c r="U411" s="161">
        <f t="shared" si="123"/>
        <v>0</v>
      </c>
      <c r="V411" s="161">
        <f t="shared" si="123"/>
        <v>0</v>
      </c>
      <c r="W411" s="161">
        <f t="shared" si="123"/>
        <v>0</v>
      </c>
      <c r="X411" s="366"/>
      <c r="Y411" s="40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53">
        <v>33</v>
      </c>
      <c r="B412" s="373" t="s">
        <v>118</v>
      </c>
      <c r="C412" s="455">
        <v>2018</v>
      </c>
      <c r="D412" s="455">
        <v>2028</v>
      </c>
      <c r="E412" s="362" t="s">
        <v>260</v>
      </c>
      <c r="F412" s="382">
        <f>149720+X412</f>
        <v>1549720</v>
      </c>
      <c r="G412" s="377">
        <v>60016</v>
      </c>
      <c r="H412" s="165">
        <v>6050</v>
      </c>
      <c r="I412" s="183" t="s">
        <v>28</v>
      </c>
      <c r="J412" s="164">
        <v>69975</v>
      </c>
      <c r="K412" s="164"/>
      <c r="L412" s="164"/>
      <c r="M412" s="164"/>
      <c r="O412" s="164">
        <v>400000</v>
      </c>
      <c r="P412" s="164">
        <v>500000</v>
      </c>
      <c r="Q412" s="164">
        <v>500000</v>
      </c>
      <c r="R412" s="199"/>
      <c r="S412" s="199"/>
      <c r="T412" s="199"/>
      <c r="U412" s="199"/>
      <c r="V412" s="199"/>
      <c r="W412" s="199"/>
      <c r="X412" s="366">
        <f>SUM(M416:W416)</f>
        <v>1400000</v>
      </c>
      <c r="Y412" s="141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14.25" customHeight="1">
      <c r="A413" s="353"/>
      <c r="B413" s="373"/>
      <c r="C413" s="455"/>
      <c r="D413" s="455"/>
      <c r="E413" s="362"/>
      <c r="F413" s="382"/>
      <c r="G413" s="377"/>
      <c r="H413" s="165"/>
      <c r="I413" s="183" t="s">
        <v>31</v>
      </c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366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4.25" customHeight="1">
      <c r="A414" s="353"/>
      <c r="B414" s="373"/>
      <c r="C414" s="455"/>
      <c r="D414" s="455"/>
      <c r="E414" s="362"/>
      <c r="F414" s="382"/>
      <c r="G414" s="377"/>
      <c r="H414" s="165"/>
      <c r="I414" s="183" t="s">
        <v>30</v>
      </c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366"/>
      <c r="Y414" s="40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14.25" customHeight="1">
      <c r="A415" s="353"/>
      <c r="B415" s="373"/>
      <c r="C415" s="455"/>
      <c r="D415" s="455"/>
      <c r="E415" s="362"/>
      <c r="F415" s="382"/>
      <c r="G415" s="377"/>
      <c r="H415" s="165"/>
      <c r="I415" s="183" t="s">
        <v>32</v>
      </c>
      <c r="J415" s="157"/>
      <c r="K415" s="199"/>
      <c r="L415" s="199"/>
      <c r="M415" s="199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366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9.75" customHeight="1">
      <c r="A416" s="353"/>
      <c r="B416" s="373"/>
      <c r="C416" s="455"/>
      <c r="D416" s="455"/>
      <c r="E416" s="362"/>
      <c r="F416" s="382"/>
      <c r="G416" s="377"/>
      <c r="H416" s="165"/>
      <c r="I416" s="191" t="s">
        <v>26</v>
      </c>
      <c r="J416" s="161">
        <f>SUM(J412:J415)</f>
        <v>69975</v>
      </c>
      <c r="K416" s="161">
        <f t="shared" ref="K416" si="124">SUM(K412:K415)</f>
        <v>0</v>
      </c>
      <c r="L416" s="161">
        <f t="shared" ref="L416" si="125">SUM(L412:L415)</f>
        <v>0</v>
      </c>
      <c r="M416" s="161">
        <f t="shared" ref="M416" si="126">SUM(M412:M415)</f>
        <v>0</v>
      </c>
      <c r="N416" s="161">
        <f>SUM(N412:N415)</f>
        <v>0</v>
      </c>
      <c r="O416" s="161">
        <f t="shared" ref="O416" si="127">SUM(O412:O415)</f>
        <v>400000</v>
      </c>
      <c r="P416" s="161">
        <f t="shared" ref="P416" si="128">SUM(P412:P415)</f>
        <v>500000</v>
      </c>
      <c r="Q416" s="161">
        <f>SUM(Q412:Q415)</f>
        <v>500000</v>
      </c>
      <c r="R416" s="161"/>
      <c r="S416" s="161"/>
      <c r="T416" s="161"/>
      <c r="U416" s="161"/>
      <c r="V416" s="161"/>
      <c r="W416" s="161"/>
      <c r="X416" s="366"/>
      <c r="Y416" s="40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53">
        <v>34</v>
      </c>
      <c r="B417" s="374" t="s">
        <v>219</v>
      </c>
      <c r="C417" s="375">
        <v>2021</v>
      </c>
      <c r="D417" s="379">
        <v>2031</v>
      </c>
      <c r="E417" s="362" t="s">
        <v>260</v>
      </c>
      <c r="F417" s="382">
        <f>139804+X417</f>
        <v>669804</v>
      </c>
      <c r="G417" s="381">
        <v>60016</v>
      </c>
      <c r="H417" s="154">
        <v>6050</v>
      </c>
      <c r="I417" s="163" t="s">
        <v>28</v>
      </c>
      <c r="J417" s="164">
        <v>55525</v>
      </c>
      <c r="K417" s="164">
        <v>165000</v>
      </c>
      <c r="L417" s="164"/>
      <c r="M417" s="164">
        <v>0</v>
      </c>
      <c r="N417" s="164">
        <v>30000</v>
      </c>
      <c r="O417" s="164"/>
      <c r="P417" s="157"/>
      <c r="Q417" s="157"/>
      <c r="R417" s="164">
        <v>0</v>
      </c>
      <c r="S417" s="164">
        <v>250000</v>
      </c>
      <c r="T417" s="164">
        <v>250000</v>
      </c>
      <c r="U417" s="157"/>
      <c r="V417" s="157"/>
      <c r="W417" s="157"/>
      <c r="X417" s="366">
        <f>SUM(L421:W421)</f>
        <v>530000</v>
      </c>
      <c r="Y417" s="141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13.5" customHeight="1">
      <c r="A418" s="353"/>
      <c r="B418" s="374"/>
      <c r="C418" s="375"/>
      <c r="D418" s="379"/>
      <c r="E418" s="362"/>
      <c r="F418" s="382"/>
      <c r="G418" s="381"/>
      <c r="H418" s="170"/>
      <c r="I418" s="155" t="s">
        <v>31</v>
      </c>
      <c r="J418" s="164"/>
      <c r="K418" s="156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366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3.5" customHeight="1">
      <c r="A419" s="353"/>
      <c r="B419" s="374"/>
      <c r="C419" s="375"/>
      <c r="D419" s="379"/>
      <c r="E419" s="362"/>
      <c r="F419" s="382"/>
      <c r="G419" s="381"/>
      <c r="H419" s="170"/>
      <c r="I419" s="155" t="s">
        <v>30</v>
      </c>
      <c r="J419" s="164"/>
      <c r="K419" s="156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366"/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13.5" customHeight="1">
      <c r="A420" s="353"/>
      <c r="B420" s="374"/>
      <c r="C420" s="375"/>
      <c r="D420" s="379"/>
      <c r="E420" s="362"/>
      <c r="F420" s="382"/>
      <c r="G420" s="381"/>
      <c r="H420" s="170"/>
      <c r="I420" s="155" t="s">
        <v>92</v>
      </c>
      <c r="J420" s="164">
        <v>10000</v>
      </c>
      <c r="K420" s="156">
        <v>15000</v>
      </c>
      <c r="L420" s="156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366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8.25" customHeight="1">
      <c r="A421" s="353"/>
      <c r="B421" s="374"/>
      <c r="C421" s="375"/>
      <c r="D421" s="379"/>
      <c r="E421" s="362"/>
      <c r="F421" s="382"/>
      <c r="G421" s="381"/>
      <c r="H421" s="170"/>
      <c r="I421" s="160" t="s">
        <v>26</v>
      </c>
      <c r="J421" s="161">
        <f>SUM(J417:J420)</f>
        <v>65525</v>
      </c>
      <c r="K421" s="162">
        <f t="shared" ref="K421:U421" si="129">SUM(K417:K420)</f>
        <v>180000</v>
      </c>
      <c r="L421" s="162">
        <f t="shared" si="129"/>
        <v>0</v>
      </c>
      <c r="M421" s="162">
        <f t="shared" si="129"/>
        <v>0</v>
      </c>
      <c r="N421" s="162">
        <f t="shared" si="129"/>
        <v>30000</v>
      </c>
      <c r="O421" s="162">
        <f t="shared" si="129"/>
        <v>0</v>
      </c>
      <c r="P421" s="162">
        <f t="shared" si="129"/>
        <v>0</v>
      </c>
      <c r="Q421" s="162">
        <f t="shared" si="129"/>
        <v>0</v>
      </c>
      <c r="R421" s="162">
        <f t="shared" si="129"/>
        <v>0</v>
      </c>
      <c r="S421" s="162">
        <f t="shared" si="129"/>
        <v>250000</v>
      </c>
      <c r="T421" s="162">
        <f t="shared" si="129"/>
        <v>250000</v>
      </c>
      <c r="U421" s="162">
        <f t="shared" si="129"/>
        <v>0</v>
      </c>
      <c r="V421" s="162"/>
      <c r="W421" s="162"/>
      <c r="X421" s="366"/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53"/>
      <c r="B422" s="378" t="s">
        <v>99</v>
      </c>
      <c r="C422" s="449">
        <v>2015</v>
      </c>
      <c r="D422" s="462">
        <v>2019</v>
      </c>
      <c r="E422" s="363" t="s">
        <v>27</v>
      </c>
      <c r="F422" s="463"/>
      <c r="G422" s="380">
        <v>60016</v>
      </c>
      <c r="H422" s="91">
        <v>6050</v>
      </c>
      <c r="I422" s="114" t="s">
        <v>28</v>
      </c>
      <c r="J422" s="100">
        <v>46094</v>
      </c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72">
        <f t="shared" ref="X422" si="130">SUM(L426:W426)</f>
        <v>0</v>
      </c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5" hidden="1" customHeight="1">
      <c r="A423" s="353"/>
      <c r="B423" s="378"/>
      <c r="C423" s="449"/>
      <c r="D423" s="462"/>
      <c r="E423" s="363"/>
      <c r="F423" s="463"/>
      <c r="G423" s="380"/>
      <c r="H423" s="91"/>
      <c r="I423" s="92" t="s">
        <v>31</v>
      </c>
      <c r="J423" s="98"/>
      <c r="K423" s="98"/>
      <c r="L423" s="98"/>
      <c r="M423" s="98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372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53"/>
      <c r="B424" s="378"/>
      <c r="C424" s="449"/>
      <c r="D424" s="462"/>
      <c r="E424" s="363"/>
      <c r="F424" s="463"/>
      <c r="G424" s="380"/>
      <c r="H424" s="91"/>
      <c r="I424" s="92" t="s">
        <v>30</v>
      </c>
      <c r="J424" s="98"/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72"/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5" hidden="1" customHeight="1">
      <c r="A425" s="353"/>
      <c r="B425" s="378"/>
      <c r="C425" s="449"/>
      <c r="D425" s="462"/>
      <c r="E425" s="363"/>
      <c r="F425" s="463"/>
      <c r="G425" s="380"/>
      <c r="H425" s="91"/>
      <c r="I425" s="92" t="s">
        <v>33</v>
      </c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372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8" hidden="1" customHeight="1">
      <c r="A426" s="353"/>
      <c r="B426" s="378"/>
      <c r="C426" s="449"/>
      <c r="D426" s="462"/>
      <c r="E426" s="363"/>
      <c r="F426" s="463"/>
      <c r="G426" s="380"/>
      <c r="H426" s="91"/>
      <c r="I426" s="101" t="s">
        <v>26</v>
      </c>
      <c r="J426" s="102">
        <f>SUM(J422:J425)</f>
        <v>46094</v>
      </c>
      <c r="K426" s="102">
        <f t="shared" ref="K426:P426" si="131">SUM(K422:K425)</f>
        <v>0</v>
      </c>
      <c r="L426" s="102">
        <f t="shared" si="131"/>
        <v>0</v>
      </c>
      <c r="M426" s="102">
        <f t="shared" si="131"/>
        <v>0</v>
      </c>
      <c r="N426" s="102">
        <f t="shared" si="131"/>
        <v>0</v>
      </c>
      <c r="O426" s="102">
        <f t="shared" si="131"/>
        <v>0</v>
      </c>
      <c r="P426" s="102">
        <f t="shared" si="131"/>
        <v>0</v>
      </c>
      <c r="Q426" s="102"/>
      <c r="R426" s="102"/>
      <c r="S426" s="102"/>
      <c r="T426" s="102"/>
      <c r="U426" s="102"/>
      <c r="V426" s="102"/>
      <c r="W426" s="102"/>
      <c r="X426" s="372"/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53"/>
      <c r="B427" s="378" t="s">
        <v>96</v>
      </c>
      <c r="C427" s="449">
        <v>2018</v>
      </c>
      <c r="D427" s="462">
        <v>2019</v>
      </c>
      <c r="E427" s="363" t="s">
        <v>27</v>
      </c>
      <c r="F427" s="414"/>
      <c r="G427" s="380">
        <v>60016</v>
      </c>
      <c r="H427" s="104">
        <v>6050</v>
      </c>
      <c r="I427" s="114" t="s">
        <v>28</v>
      </c>
      <c r="J427" s="100">
        <v>140692</v>
      </c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72">
        <f t="shared" ref="X427" si="132">SUM(L431:W431)</f>
        <v>0</v>
      </c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5" hidden="1" customHeight="1">
      <c r="A428" s="353"/>
      <c r="B428" s="378"/>
      <c r="C428" s="449"/>
      <c r="D428" s="462"/>
      <c r="E428" s="363"/>
      <c r="F428" s="414"/>
      <c r="G428" s="380"/>
      <c r="H428" s="91"/>
      <c r="I428" s="92" t="s">
        <v>31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372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5" hidden="1" customHeight="1">
      <c r="A429" s="353"/>
      <c r="B429" s="378"/>
      <c r="C429" s="449"/>
      <c r="D429" s="462"/>
      <c r="E429" s="363"/>
      <c r="F429" s="414"/>
      <c r="G429" s="380"/>
      <c r="H429" s="91"/>
      <c r="I429" s="92" t="s">
        <v>30</v>
      </c>
      <c r="J429" s="98"/>
      <c r="K429" s="98"/>
      <c r="L429" s="98"/>
      <c r="M429" s="98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372"/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5" hidden="1" customHeight="1">
      <c r="A430" s="353"/>
      <c r="B430" s="378"/>
      <c r="C430" s="449"/>
      <c r="D430" s="462"/>
      <c r="E430" s="363"/>
      <c r="F430" s="414"/>
      <c r="G430" s="380"/>
      <c r="H430" s="91"/>
      <c r="I430" s="92" t="s">
        <v>33</v>
      </c>
      <c r="J430" s="98"/>
      <c r="K430" s="98"/>
      <c r="L430" s="98"/>
      <c r="M430" s="98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372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7.25" hidden="1" customHeight="1">
      <c r="A431" s="353"/>
      <c r="B431" s="378"/>
      <c r="C431" s="449"/>
      <c r="D431" s="462"/>
      <c r="E431" s="363"/>
      <c r="F431" s="414"/>
      <c r="G431" s="380"/>
      <c r="H431" s="91"/>
      <c r="I431" s="101" t="s">
        <v>26</v>
      </c>
      <c r="J431" s="102">
        <f>SUM(J427:J430)</f>
        <v>140692</v>
      </c>
      <c r="K431" s="102">
        <f t="shared" ref="K431:P431" si="133">SUM(K427:K430)</f>
        <v>0</v>
      </c>
      <c r="L431" s="102">
        <f t="shared" si="133"/>
        <v>0</v>
      </c>
      <c r="M431" s="102">
        <f t="shared" si="133"/>
        <v>0</v>
      </c>
      <c r="N431" s="102">
        <f t="shared" si="133"/>
        <v>0</v>
      </c>
      <c r="O431" s="102">
        <f t="shared" si="133"/>
        <v>0</v>
      </c>
      <c r="P431" s="102">
        <f t="shared" si="133"/>
        <v>0</v>
      </c>
      <c r="Q431" s="102"/>
      <c r="R431" s="102"/>
      <c r="S431" s="102"/>
      <c r="T431" s="102"/>
      <c r="U431" s="102"/>
      <c r="V431" s="102"/>
      <c r="W431" s="102"/>
      <c r="X431" s="372"/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53">
        <v>35</v>
      </c>
      <c r="B432" s="374" t="s">
        <v>100</v>
      </c>
      <c r="C432" s="370">
        <v>2018</v>
      </c>
      <c r="D432" s="379">
        <v>2027</v>
      </c>
      <c r="E432" s="362" t="s">
        <v>260</v>
      </c>
      <c r="F432" s="382">
        <f>753442+X432</f>
        <v>1353442</v>
      </c>
      <c r="G432" s="354">
        <v>60016</v>
      </c>
      <c r="H432" s="200">
        <v>6050</v>
      </c>
      <c r="I432" s="163" t="s">
        <v>28</v>
      </c>
      <c r="J432" s="156">
        <v>30000</v>
      </c>
      <c r="K432" s="156">
        <f>150000-150000</f>
        <v>0</v>
      </c>
      <c r="L432" s="156"/>
      <c r="M432" s="156"/>
      <c r="O432" s="156">
        <v>200000</v>
      </c>
      <c r="P432" s="156">
        <v>400000</v>
      </c>
      <c r="Q432" s="187"/>
      <c r="R432" s="156">
        <v>0</v>
      </c>
      <c r="S432" s="187"/>
      <c r="T432" s="187"/>
      <c r="U432" s="187"/>
      <c r="V432" s="187"/>
      <c r="W432" s="187"/>
      <c r="X432" s="366">
        <f>SUM(L436:W436)</f>
        <v>600000</v>
      </c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4.25" customHeight="1">
      <c r="A433" s="353"/>
      <c r="B433" s="374"/>
      <c r="C433" s="370"/>
      <c r="D433" s="379"/>
      <c r="E433" s="362"/>
      <c r="F433" s="382"/>
      <c r="G433" s="354"/>
      <c r="H433" s="200"/>
      <c r="I433" s="155" t="s">
        <v>31</v>
      </c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366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4.25" customHeight="1">
      <c r="A434" s="353"/>
      <c r="B434" s="374"/>
      <c r="C434" s="370"/>
      <c r="D434" s="379"/>
      <c r="E434" s="362"/>
      <c r="F434" s="382"/>
      <c r="G434" s="354"/>
      <c r="H434" s="200"/>
      <c r="I434" s="155" t="s">
        <v>30</v>
      </c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366"/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14.25" customHeight="1">
      <c r="A435" s="353"/>
      <c r="B435" s="374"/>
      <c r="C435" s="370"/>
      <c r="D435" s="379"/>
      <c r="E435" s="362"/>
      <c r="F435" s="382"/>
      <c r="G435" s="354"/>
      <c r="H435" s="200"/>
      <c r="I435" s="155" t="s">
        <v>33</v>
      </c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366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23.25" customHeight="1">
      <c r="A436" s="353"/>
      <c r="B436" s="374"/>
      <c r="C436" s="370"/>
      <c r="D436" s="379"/>
      <c r="E436" s="362"/>
      <c r="F436" s="382"/>
      <c r="G436" s="354"/>
      <c r="H436" s="200"/>
      <c r="I436" s="160" t="s">
        <v>26</v>
      </c>
      <c r="J436" s="161">
        <f>SUM(J432:J435)</f>
        <v>30000</v>
      </c>
      <c r="K436" s="161">
        <f t="shared" ref="K436:O436" si="134">SUM(K432:K435)</f>
        <v>0</v>
      </c>
      <c r="L436" s="161">
        <f t="shared" si="134"/>
        <v>0</v>
      </c>
      <c r="M436" s="161">
        <f t="shared" si="134"/>
        <v>0</v>
      </c>
      <c r="N436" s="161">
        <f t="shared" si="134"/>
        <v>0</v>
      </c>
      <c r="O436" s="161">
        <f t="shared" si="134"/>
        <v>200000</v>
      </c>
      <c r="P436" s="161">
        <f>SUM(P432:P435)</f>
        <v>400000</v>
      </c>
      <c r="Q436" s="161">
        <f t="shared" ref="Q436:W436" si="135">SUM(Q432:Q435)</f>
        <v>0</v>
      </c>
      <c r="R436" s="161">
        <f t="shared" si="135"/>
        <v>0</v>
      </c>
      <c r="S436" s="161">
        <f t="shared" si="135"/>
        <v>0</v>
      </c>
      <c r="T436" s="161">
        <f t="shared" si="135"/>
        <v>0</v>
      </c>
      <c r="U436" s="161">
        <f t="shared" si="135"/>
        <v>0</v>
      </c>
      <c r="V436" s="161">
        <f t="shared" si="135"/>
        <v>0</v>
      </c>
      <c r="W436" s="161">
        <f t="shared" si="135"/>
        <v>0</v>
      </c>
      <c r="X436" s="366"/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hidden="1" customHeight="1">
      <c r="A437" s="353">
        <v>35</v>
      </c>
      <c r="B437" s="373" t="s">
        <v>215</v>
      </c>
      <c r="C437" s="357">
        <v>2021</v>
      </c>
      <c r="D437" s="357">
        <v>2031</v>
      </c>
      <c r="E437" s="362" t="s">
        <v>260</v>
      </c>
      <c r="F437" s="405">
        <v>0</v>
      </c>
      <c r="G437" s="356">
        <v>60016</v>
      </c>
      <c r="H437" s="90"/>
      <c r="I437" s="58" t="s">
        <v>28</v>
      </c>
      <c r="J437" s="100">
        <v>20000</v>
      </c>
      <c r="K437" s="98"/>
      <c r="L437" s="98"/>
      <c r="M437" s="62"/>
      <c r="N437" s="62"/>
      <c r="O437" s="84">
        <v>0</v>
      </c>
      <c r="P437" s="348">
        <v>0</v>
      </c>
      <c r="Q437" s="84"/>
      <c r="R437" s="84"/>
      <c r="S437" s="348">
        <v>0</v>
      </c>
      <c r="T437" s="348">
        <v>0</v>
      </c>
      <c r="U437" s="84"/>
      <c r="V437" s="84"/>
      <c r="W437" s="84"/>
      <c r="X437" s="371">
        <f>SUM(L441:W441)</f>
        <v>0</v>
      </c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hidden="1" customHeight="1">
      <c r="A438" s="353"/>
      <c r="B438" s="373"/>
      <c r="C438" s="357"/>
      <c r="D438" s="357"/>
      <c r="E438" s="362"/>
      <c r="F438" s="405"/>
      <c r="G438" s="356"/>
      <c r="H438" s="90"/>
      <c r="I438" s="61" t="s">
        <v>31</v>
      </c>
      <c r="J438" s="98"/>
      <c r="K438" s="98"/>
      <c r="L438" s="98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371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2.75" hidden="1" customHeight="1">
      <c r="A439" s="353"/>
      <c r="B439" s="373"/>
      <c r="C439" s="357"/>
      <c r="D439" s="357"/>
      <c r="E439" s="362"/>
      <c r="F439" s="405"/>
      <c r="G439" s="356"/>
      <c r="H439" s="90"/>
      <c r="I439" s="61" t="s">
        <v>30</v>
      </c>
      <c r="J439" s="98"/>
      <c r="K439" s="98"/>
      <c r="L439" s="98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371"/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2.75" hidden="1" customHeight="1">
      <c r="A440" s="353"/>
      <c r="B440" s="373"/>
      <c r="C440" s="357"/>
      <c r="D440" s="357"/>
      <c r="E440" s="362"/>
      <c r="F440" s="405"/>
      <c r="G440" s="356"/>
      <c r="H440" s="90">
        <v>6050</v>
      </c>
      <c r="I440" s="61" t="s">
        <v>70</v>
      </c>
      <c r="J440" s="98"/>
      <c r="K440" s="98">
        <v>14000</v>
      </c>
      <c r="L440" s="100">
        <v>0</v>
      </c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371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2.75" hidden="1" customHeight="1">
      <c r="A441" s="353"/>
      <c r="B441" s="373"/>
      <c r="C441" s="357"/>
      <c r="D441" s="357"/>
      <c r="E441" s="362"/>
      <c r="F441" s="405"/>
      <c r="G441" s="356"/>
      <c r="H441" s="90"/>
      <c r="I441" s="64" t="s">
        <v>26</v>
      </c>
      <c r="J441" s="102">
        <f>SUM(J437:J440)</f>
        <v>20000</v>
      </c>
      <c r="K441" s="102">
        <f t="shared" ref="K441:W441" si="136">SUM(K437:K440)</f>
        <v>14000</v>
      </c>
      <c r="L441" s="102">
        <f t="shared" si="136"/>
        <v>0</v>
      </c>
      <c r="M441" s="65">
        <f t="shared" si="136"/>
        <v>0</v>
      </c>
      <c r="N441" s="289">
        <f t="shared" si="136"/>
        <v>0</v>
      </c>
      <c r="O441" s="65">
        <f t="shared" si="136"/>
        <v>0</v>
      </c>
      <c r="P441" s="65">
        <f t="shared" si="136"/>
        <v>0</v>
      </c>
      <c r="Q441" s="65">
        <f t="shared" si="136"/>
        <v>0</v>
      </c>
      <c r="R441" s="65">
        <f t="shared" si="136"/>
        <v>0</v>
      </c>
      <c r="S441" s="65">
        <f t="shared" si="136"/>
        <v>0</v>
      </c>
      <c r="T441" s="65">
        <f t="shared" si="136"/>
        <v>0</v>
      </c>
      <c r="U441" s="65">
        <f t="shared" si="136"/>
        <v>0</v>
      </c>
      <c r="V441" s="65">
        <f t="shared" si="136"/>
        <v>0</v>
      </c>
      <c r="W441" s="65">
        <f t="shared" si="136"/>
        <v>0</v>
      </c>
      <c r="X441" s="371"/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hidden="1" customHeight="1">
      <c r="A442" s="353">
        <v>36</v>
      </c>
      <c r="B442" s="459" t="s">
        <v>231</v>
      </c>
      <c r="C442" s="370">
        <v>2021</v>
      </c>
      <c r="D442" s="379">
        <v>2028</v>
      </c>
      <c r="E442" s="362" t="s">
        <v>27</v>
      </c>
      <c r="F442" s="552">
        <f>X442</f>
        <v>0</v>
      </c>
      <c r="G442" s="354">
        <v>60016</v>
      </c>
      <c r="H442" s="200">
        <v>6050</v>
      </c>
      <c r="I442" s="183" t="s">
        <v>28</v>
      </c>
      <c r="J442" s="156">
        <v>20000</v>
      </c>
      <c r="K442" s="187"/>
      <c r="L442" s="156"/>
      <c r="M442" s="293"/>
      <c r="N442" s="301"/>
      <c r="O442" s="349">
        <v>0</v>
      </c>
      <c r="P442" s="348">
        <v>0</v>
      </c>
      <c r="Q442" s="348">
        <v>0</v>
      </c>
      <c r="R442" s="100"/>
      <c r="S442" s="98"/>
      <c r="T442" s="187"/>
      <c r="U442" s="187"/>
      <c r="V442" s="187"/>
      <c r="W442" s="187"/>
      <c r="X442" s="551">
        <f>SUM(L446:W446)</f>
        <v>0</v>
      </c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5" hidden="1" customHeight="1">
      <c r="A443" s="353"/>
      <c r="B443" s="460"/>
      <c r="C443" s="370"/>
      <c r="D443" s="379"/>
      <c r="E443" s="362"/>
      <c r="F443" s="552"/>
      <c r="G443" s="354"/>
      <c r="H443" s="200">
        <v>6050</v>
      </c>
      <c r="I443" s="166" t="s">
        <v>31</v>
      </c>
      <c r="J443" s="187"/>
      <c r="K443" s="187"/>
      <c r="L443" s="156"/>
      <c r="M443" s="100"/>
      <c r="N443" s="294"/>
      <c r="O443" s="98"/>
      <c r="P443" s="98"/>
      <c r="Q443" s="98"/>
      <c r="R443" s="98"/>
      <c r="S443" s="98"/>
      <c r="T443" s="187"/>
      <c r="U443" s="187"/>
      <c r="V443" s="187"/>
      <c r="W443" s="187"/>
      <c r="X443" s="551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" hidden="1" customHeight="1">
      <c r="A444" s="353"/>
      <c r="B444" s="460"/>
      <c r="C444" s="370"/>
      <c r="D444" s="379"/>
      <c r="E444" s="362"/>
      <c r="F444" s="552"/>
      <c r="G444" s="354"/>
      <c r="H444" s="200"/>
      <c r="I444" s="166" t="s">
        <v>30</v>
      </c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551"/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5" hidden="1" customHeight="1">
      <c r="A445" s="353"/>
      <c r="B445" s="460"/>
      <c r="C445" s="370"/>
      <c r="D445" s="379"/>
      <c r="E445" s="362"/>
      <c r="F445" s="552"/>
      <c r="G445" s="354"/>
      <c r="H445" s="200"/>
      <c r="I445" s="166" t="s">
        <v>70</v>
      </c>
      <c r="J445" s="187"/>
      <c r="K445" s="187">
        <v>14000</v>
      </c>
      <c r="L445" s="156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551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1.25" hidden="1" customHeight="1">
      <c r="A446" s="353"/>
      <c r="B446" s="461"/>
      <c r="C446" s="370"/>
      <c r="D446" s="379"/>
      <c r="E446" s="362"/>
      <c r="F446" s="552"/>
      <c r="G446" s="354"/>
      <c r="H446" s="200"/>
      <c r="I446" s="160" t="s">
        <v>26</v>
      </c>
      <c r="J446" s="161">
        <f>SUM(J442:J445)</f>
        <v>20000</v>
      </c>
      <c r="K446" s="161">
        <f t="shared" ref="K446:P446" si="137">SUM(K442:K445)</f>
        <v>14000</v>
      </c>
      <c r="L446" s="161">
        <f t="shared" si="137"/>
        <v>0</v>
      </c>
      <c r="M446" s="161">
        <f t="shared" si="137"/>
        <v>0</v>
      </c>
      <c r="N446" s="161">
        <f t="shared" si="137"/>
        <v>0</v>
      </c>
      <c r="O446" s="161">
        <f t="shared" si="137"/>
        <v>0</v>
      </c>
      <c r="P446" s="161">
        <f t="shared" si="137"/>
        <v>0</v>
      </c>
      <c r="Q446" s="161">
        <f>SUM(Q442:Q445)</f>
        <v>0</v>
      </c>
      <c r="R446" s="161">
        <f>SUM(R442:R445)</f>
        <v>0</v>
      </c>
      <c r="S446" s="161"/>
      <c r="T446" s="161"/>
      <c r="U446" s="161"/>
      <c r="V446" s="161"/>
      <c r="W446" s="161"/>
      <c r="X446" s="551"/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5.75" hidden="1" customHeight="1">
      <c r="A447" s="353">
        <v>37</v>
      </c>
      <c r="B447" s="368" t="s">
        <v>210</v>
      </c>
      <c r="C447" s="370">
        <v>2020</v>
      </c>
      <c r="D447" s="370">
        <v>2022</v>
      </c>
      <c r="E447" s="362" t="s">
        <v>27</v>
      </c>
      <c r="F447" s="382">
        <v>0</v>
      </c>
      <c r="G447" s="354">
        <v>60016</v>
      </c>
      <c r="H447" s="200">
        <v>6050</v>
      </c>
      <c r="I447" s="183" t="s">
        <v>28</v>
      </c>
      <c r="J447" s="161"/>
      <c r="K447" s="161"/>
      <c r="L447" s="156">
        <v>0</v>
      </c>
      <c r="M447" s="156"/>
      <c r="N447" s="156"/>
      <c r="O447" s="156"/>
      <c r="P447" s="187"/>
      <c r="Q447" s="187"/>
      <c r="R447" s="187"/>
      <c r="S447" s="187"/>
      <c r="T447" s="187"/>
      <c r="U447" s="187"/>
      <c r="V447" s="187"/>
      <c r="W447" s="187"/>
      <c r="X447" s="366">
        <f t="shared" ref="X447" si="138">SUM(L451:W451)</f>
        <v>0</v>
      </c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53"/>
      <c r="B448" s="369"/>
      <c r="C448" s="370"/>
      <c r="D448" s="370"/>
      <c r="E448" s="362"/>
      <c r="F448" s="382"/>
      <c r="G448" s="354"/>
      <c r="H448" s="200"/>
      <c r="I448" s="166" t="s">
        <v>31</v>
      </c>
      <c r="J448" s="161"/>
      <c r="K448" s="161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366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5.75" hidden="1" customHeight="1">
      <c r="A449" s="353"/>
      <c r="B449" s="369"/>
      <c r="C449" s="370"/>
      <c r="D449" s="370"/>
      <c r="E449" s="362"/>
      <c r="F449" s="382"/>
      <c r="G449" s="354"/>
      <c r="H449" s="200"/>
      <c r="I449" s="166" t="s">
        <v>30</v>
      </c>
      <c r="J449" s="161"/>
      <c r="K449" s="161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366"/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0.5" hidden="1" customHeight="1">
      <c r="A450" s="353"/>
      <c r="B450" s="369"/>
      <c r="C450" s="370"/>
      <c r="D450" s="370"/>
      <c r="E450" s="362"/>
      <c r="F450" s="382"/>
      <c r="G450" s="354"/>
      <c r="H450" s="200"/>
      <c r="I450" s="166" t="s">
        <v>70</v>
      </c>
      <c r="J450" s="161"/>
      <c r="K450" s="161"/>
      <c r="L450" s="156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366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53"/>
      <c r="B451" s="369"/>
      <c r="C451" s="370"/>
      <c r="D451" s="370"/>
      <c r="E451" s="362"/>
      <c r="F451" s="382"/>
      <c r="G451" s="354"/>
      <c r="H451" s="200"/>
      <c r="I451" s="160" t="s">
        <v>26</v>
      </c>
      <c r="J451" s="161"/>
      <c r="K451" s="161"/>
      <c r="L451" s="161">
        <f t="shared" ref="L451:P451" si="139">SUM(L447:L450)</f>
        <v>0</v>
      </c>
      <c r="M451" s="161">
        <f t="shared" si="139"/>
        <v>0</v>
      </c>
      <c r="N451" s="161">
        <f t="shared" si="139"/>
        <v>0</v>
      </c>
      <c r="O451" s="161">
        <f t="shared" si="139"/>
        <v>0</v>
      </c>
      <c r="P451" s="161">
        <f t="shared" si="139"/>
        <v>0</v>
      </c>
      <c r="Q451" s="161"/>
      <c r="R451" s="161"/>
      <c r="S451" s="161"/>
      <c r="T451" s="161"/>
      <c r="U451" s="161"/>
      <c r="V451" s="161"/>
      <c r="W451" s="161"/>
      <c r="X451" s="366"/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53">
        <v>38</v>
      </c>
      <c r="B452" s="368" t="s">
        <v>136</v>
      </c>
      <c r="C452" s="370">
        <v>2020</v>
      </c>
      <c r="D452" s="370">
        <v>2022</v>
      </c>
      <c r="E452" s="362" t="s">
        <v>27</v>
      </c>
      <c r="F452" s="382">
        <f>X452</f>
        <v>0</v>
      </c>
      <c r="G452" s="354">
        <v>60016</v>
      </c>
      <c r="H452" s="200"/>
      <c r="I452" s="183" t="s">
        <v>28</v>
      </c>
      <c r="J452" s="161"/>
      <c r="K452" s="161"/>
      <c r="L452" s="156"/>
      <c r="M452" s="156"/>
      <c r="N452" s="156"/>
      <c r="O452" s="156"/>
      <c r="P452" s="187"/>
      <c r="Q452" s="187"/>
      <c r="R452" s="187"/>
      <c r="S452" s="187"/>
      <c r="T452" s="187"/>
      <c r="U452" s="187"/>
      <c r="V452" s="187"/>
      <c r="W452" s="187"/>
      <c r="X452" s="366">
        <f t="shared" ref="X452" si="140">SUM(L456:W456)</f>
        <v>0</v>
      </c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5.75" hidden="1" customHeight="1">
      <c r="A453" s="353"/>
      <c r="B453" s="369"/>
      <c r="C453" s="370"/>
      <c r="D453" s="370"/>
      <c r="E453" s="362"/>
      <c r="F453" s="382"/>
      <c r="G453" s="354"/>
      <c r="H453" s="200"/>
      <c r="I453" s="166" t="s">
        <v>31</v>
      </c>
      <c r="J453" s="161"/>
      <c r="K453" s="161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366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53"/>
      <c r="B454" s="369"/>
      <c r="C454" s="370"/>
      <c r="D454" s="370"/>
      <c r="E454" s="362"/>
      <c r="F454" s="382"/>
      <c r="G454" s="354"/>
      <c r="H454" s="200"/>
      <c r="I454" s="166" t="s">
        <v>30</v>
      </c>
      <c r="J454" s="161"/>
      <c r="K454" s="161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366"/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5.75" hidden="1" customHeight="1">
      <c r="A455" s="353"/>
      <c r="B455" s="369"/>
      <c r="C455" s="370"/>
      <c r="D455" s="370"/>
      <c r="E455" s="362"/>
      <c r="F455" s="382"/>
      <c r="G455" s="354"/>
      <c r="H455" s="200">
        <v>6050</v>
      </c>
      <c r="I455" s="166" t="s">
        <v>70</v>
      </c>
      <c r="J455" s="161"/>
      <c r="K455" s="161"/>
      <c r="L455" s="156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366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2" hidden="1" customHeight="1">
      <c r="A456" s="353"/>
      <c r="B456" s="369"/>
      <c r="C456" s="370"/>
      <c r="D456" s="370"/>
      <c r="E456" s="362"/>
      <c r="F456" s="382"/>
      <c r="G456" s="354"/>
      <c r="H456" s="200"/>
      <c r="I456" s="160" t="s">
        <v>26</v>
      </c>
      <c r="J456" s="161"/>
      <c r="K456" s="161"/>
      <c r="L456" s="161">
        <f t="shared" ref="L456:P456" si="141">SUM(L452:L455)</f>
        <v>0</v>
      </c>
      <c r="M456" s="161">
        <f t="shared" si="141"/>
        <v>0</v>
      </c>
      <c r="N456" s="161">
        <f t="shared" si="141"/>
        <v>0</v>
      </c>
      <c r="O456" s="161">
        <f t="shared" si="141"/>
        <v>0</v>
      </c>
      <c r="P456" s="161">
        <f t="shared" si="141"/>
        <v>0</v>
      </c>
      <c r="Q456" s="161"/>
      <c r="R456" s="161"/>
      <c r="S456" s="161"/>
      <c r="T456" s="161"/>
      <c r="U456" s="161"/>
      <c r="V456" s="161"/>
      <c r="W456" s="161"/>
      <c r="X456" s="366"/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53">
        <v>39</v>
      </c>
      <c r="B457" s="368" t="s">
        <v>137</v>
      </c>
      <c r="C457" s="370">
        <v>2020</v>
      </c>
      <c r="D457" s="370">
        <v>2022</v>
      </c>
      <c r="E457" s="362" t="s">
        <v>27</v>
      </c>
      <c r="F457" s="382">
        <f>X457</f>
        <v>0</v>
      </c>
      <c r="G457" s="354">
        <v>60016</v>
      </c>
      <c r="H457" s="200">
        <v>6050</v>
      </c>
      <c r="I457" s="183" t="s">
        <v>28</v>
      </c>
      <c r="J457" s="161"/>
      <c r="K457" s="161"/>
      <c r="L457" s="156"/>
      <c r="M457" s="156"/>
      <c r="N457" s="156"/>
      <c r="O457" s="156"/>
      <c r="P457" s="187"/>
      <c r="Q457" s="187"/>
      <c r="R457" s="187"/>
      <c r="S457" s="187"/>
      <c r="T457" s="187"/>
      <c r="U457" s="187"/>
      <c r="V457" s="187"/>
      <c r="W457" s="187"/>
      <c r="X457" s="366">
        <f t="shared" ref="X457" si="142">SUM(L461:W461)</f>
        <v>0</v>
      </c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5.75" hidden="1" customHeight="1">
      <c r="A458" s="353"/>
      <c r="B458" s="369"/>
      <c r="C458" s="370"/>
      <c r="D458" s="370"/>
      <c r="E458" s="362"/>
      <c r="F458" s="382"/>
      <c r="G458" s="354"/>
      <c r="H458" s="200"/>
      <c r="I458" s="166" t="s">
        <v>31</v>
      </c>
      <c r="J458" s="161"/>
      <c r="K458" s="161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366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53"/>
      <c r="B459" s="369"/>
      <c r="C459" s="370"/>
      <c r="D459" s="370"/>
      <c r="E459" s="362"/>
      <c r="F459" s="382"/>
      <c r="G459" s="354"/>
      <c r="H459" s="200"/>
      <c r="I459" s="166" t="s">
        <v>30</v>
      </c>
      <c r="J459" s="161"/>
      <c r="K459" s="161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366"/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5.75" hidden="1" customHeight="1">
      <c r="A460" s="353"/>
      <c r="B460" s="369"/>
      <c r="C460" s="370"/>
      <c r="D460" s="370"/>
      <c r="E460" s="362"/>
      <c r="F460" s="382"/>
      <c r="G460" s="354"/>
      <c r="H460" s="200">
        <v>6050</v>
      </c>
      <c r="I460" s="166" t="s">
        <v>70</v>
      </c>
      <c r="J460" s="161"/>
      <c r="K460" s="161"/>
      <c r="L460" s="156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366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6.5" hidden="1" customHeight="1">
      <c r="A461" s="353"/>
      <c r="B461" s="369"/>
      <c r="C461" s="370"/>
      <c r="D461" s="370"/>
      <c r="E461" s="362"/>
      <c r="F461" s="382"/>
      <c r="G461" s="354"/>
      <c r="H461" s="200"/>
      <c r="I461" s="160" t="s">
        <v>26</v>
      </c>
      <c r="J461" s="161"/>
      <c r="K461" s="161"/>
      <c r="L461" s="161">
        <f t="shared" ref="L461:P461" si="143">SUM(L457:L460)</f>
        <v>0</v>
      </c>
      <c r="M461" s="161">
        <f t="shared" si="143"/>
        <v>0</v>
      </c>
      <c r="N461" s="161">
        <f t="shared" si="143"/>
        <v>0</v>
      </c>
      <c r="O461" s="161">
        <f t="shared" si="143"/>
        <v>0</v>
      </c>
      <c r="P461" s="161">
        <f t="shared" si="143"/>
        <v>0</v>
      </c>
      <c r="Q461" s="161"/>
      <c r="R461" s="161"/>
      <c r="S461" s="161"/>
      <c r="T461" s="161"/>
      <c r="U461" s="161"/>
      <c r="V461" s="161"/>
      <c r="W461" s="161"/>
      <c r="X461" s="366"/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5.75" hidden="1" customHeight="1">
      <c r="A462" s="353">
        <v>40</v>
      </c>
      <c r="B462" s="368" t="s">
        <v>167</v>
      </c>
      <c r="C462" s="357">
        <v>2019</v>
      </c>
      <c r="D462" s="357">
        <v>2022</v>
      </c>
      <c r="E462" s="481" t="s">
        <v>27</v>
      </c>
      <c r="F462" s="385">
        <f>L466</f>
        <v>0</v>
      </c>
      <c r="G462" s="356">
        <v>60016</v>
      </c>
      <c r="H462" s="90"/>
      <c r="I462" s="58" t="s">
        <v>28</v>
      </c>
      <c r="J462" s="62"/>
      <c r="K462" s="62"/>
      <c r="L462" s="84"/>
      <c r="M462" s="84"/>
      <c r="N462" s="84"/>
      <c r="O462" s="84"/>
      <c r="P462" s="62"/>
      <c r="Q462" s="62"/>
      <c r="R462" s="62"/>
      <c r="S462" s="62"/>
      <c r="T462" s="62"/>
      <c r="U462" s="62"/>
      <c r="V462" s="62"/>
      <c r="W462" s="62"/>
      <c r="X462" s="371">
        <f t="shared" ref="X462" si="144">SUM(L466:W466)</f>
        <v>0</v>
      </c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2" hidden="1" customHeight="1">
      <c r="A463" s="353"/>
      <c r="B463" s="369"/>
      <c r="C463" s="357"/>
      <c r="D463" s="357"/>
      <c r="E463" s="481"/>
      <c r="F463" s="385"/>
      <c r="G463" s="356"/>
      <c r="H463" s="90"/>
      <c r="I463" s="61" t="s">
        <v>31</v>
      </c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371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1.25" hidden="1" customHeight="1">
      <c r="A464" s="353"/>
      <c r="B464" s="369"/>
      <c r="C464" s="357"/>
      <c r="D464" s="357"/>
      <c r="E464" s="481"/>
      <c r="F464" s="385"/>
      <c r="G464" s="356"/>
      <c r="H464" s="90"/>
      <c r="I464" s="61" t="s">
        <v>30</v>
      </c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371"/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2" hidden="1" customHeight="1">
      <c r="A465" s="353"/>
      <c r="B465" s="369"/>
      <c r="C465" s="357"/>
      <c r="D465" s="357"/>
      <c r="E465" s="481"/>
      <c r="F465" s="385"/>
      <c r="G465" s="356"/>
      <c r="H465" s="90">
        <v>6050</v>
      </c>
      <c r="I465" s="61" t="s">
        <v>70</v>
      </c>
      <c r="J465" s="62"/>
      <c r="K465" s="62"/>
      <c r="L465" s="84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371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.75" hidden="1" customHeight="1">
      <c r="A466" s="353"/>
      <c r="B466" s="369"/>
      <c r="C466" s="357"/>
      <c r="D466" s="357"/>
      <c r="E466" s="481"/>
      <c r="F466" s="385"/>
      <c r="G466" s="356"/>
      <c r="H466" s="90"/>
      <c r="I466" s="64" t="s">
        <v>26</v>
      </c>
      <c r="J466" s="62"/>
      <c r="K466" s="62"/>
      <c r="L466" s="65">
        <f t="shared" ref="L466:P466" si="145">SUM(L462:L465)</f>
        <v>0</v>
      </c>
      <c r="M466" s="65">
        <f t="shared" si="145"/>
        <v>0</v>
      </c>
      <c r="N466" s="65">
        <f t="shared" si="145"/>
        <v>0</v>
      </c>
      <c r="O466" s="65">
        <f t="shared" si="145"/>
        <v>0</v>
      </c>
      <c r="P466" s="65">
        <f t="shared" si="145"/>
        <v>0</v>
      </c>
      <c r="Q466" s="65"/>
      <c r="R466" s="65"/>
      <c r="S466" s="65"/>
      <c r="T466" s="65"/>
      <c r="U466" s="65"/>
      <c r="V466" s="65"/>
      <c r="W466" s="65"/>
      <c r="X466" s="371"/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5" hidden="1" customHeight="1">
      <c r="A467" s="353">
        <v>41</v>
      </c>
      <c r="B467" s="368" t="s">
        <v>150</v>
      </c>
      <c r="C467" s="357">
        <v>2019</v>
      </c>
      <c r="D467" s="357">
        <v>2022</v>
      </c>
      <c r="E467" s="481" t="s">
        <v>27</v>
      </c>
      <c r="F467" s="385">
        <f>X467</f>
        <v>0</v>
      </c>
      <c r="G467" s="356">
        <v>60016</v>
      </c>
      <c r="H467" s="90"/>
      <c r="I467" s="58" t="s">
        <v>28</v>
      </c>
      <c r="J467" s="65"/>
      <c r="K467" s="65"/>
      <c r="L467" s="84"/>
      <c r="M467" s="84"/>
      <c r="N467" s="84"/>
      <c r="O467" s="84"/>
      <c r="P467" s="62"/>
      <c r="Q467" s="62"/>
      <c r="R467" s="62"/>
      <c r="S467" s="62"/>
      <c r="T467" s="62"/>
      <c r="U467" s="62"/>
      <c r="V467" s="62"/>
      <c r="W467" s="62"/>
      <c r="X467" s="371">
        <f t="shared" ref="X467" si="146">SUM(L471:W471)</f>
        <v>0</v>
      </c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5" hidden="1" customHeight="1">
      <c r="A468" s="353"/>
      <c r="B468" s="369"/>
      <c r="C468" s="357"/>
      <c r="D468" s="357"/>
      <c r="E468" s="481"/>
      <c r="F468" s="385"/>
      <c r="G468" s="356"/>
      <c r="H468" s="90"/>
      <c r="I468" s="61" t="s">
        <v>31</v>
      </c>
      <c r="J468" s="65"/>
      <c r="K468" s="65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371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5" hidden="1" customHeight="1">
      <c r="A469" s="353"/>
      <c r="B469" s="369"/>
      <c r="C469" s="357"/>
      <c r="D469" s="357"/>
      <c r="E469" s="481"/>
      <c r="F469" s="385"/>
      <c r="G469" s="356"/>
      <c r="H469" s="90"/>
      <c r="I469" s="61" t="s">
        <v>30</v>
      </c>
      <c r="J469" s="65"/>
      <c r="K469" s="65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371"/>
      <c r="Y469" s="40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  <c r="BB469" s="96"/>
      <c r="BC469" s="96"/>
      <c r="BD469" s="96"/>
      <c r="BE469" s="96"/>
      <c r="BF469" s="96"/>
      <c r="BG469" s="96"/>
      <c r="BH469" s="96"/>
      <c r="BI469" s="96"/>
      <c r="BJ469" s="96"/>
      <c r="BK469" s="96"/>
      <c r="BL469" s="96"/>
      <c r="BM469" s="96"/>
      <c r="BN469" s="96"/>
      <c r="BO469" s="96"/>
      <c r="BP469" s="96"/>
      <c r="BQ469" s="96"/>
      <c r="BR469" s="96"/>
      <c r="BS469" s="96"/>
      <c r="BT469" s="96"/>
      <c r="BU469" s="96"/>
      <c r="BV469" s="96"/>
      <c r="BW469" s="96"/>
      <c r="BX469" s="96"/>
      <c r="BY469" s="96"/>
      <c r="BZ469" s="96"/>
      <c r="CA469" s="96"/>
      <c r="CB469" s="96"/>
      <c r="CC469" s="96"/>
      <c r="CD469" s="96"/>
      <c r="CE469" s="96"/>
      <c r="CF469" s="96"/>
      <c r="CG469" s="96"/>
      <c r="CH469" s="96"/>
      <c r="CI469" s="96"/>
      <c r="CJ469" s="96"/>
      <c r="CK469" s="96"/>
      <c r="CL469" s="96"/>
      <c r="CM469" s="96"/>
      <c r="CN469" s="96"/>
      <c r="CO469" s="96"/>
      <c r="CP469" s="96"/>
      <c r="CQ469" s="96"/>
      <c r="CR469" s="96"/>
      <c r="CS469" s="96"/>
      <c r="CT469" s="96"/>
      <c r="CU469" s="96"/>
      <c r="CV469" s="96"/>
      <c r="CW469" s="96"/>
      <c r="CX469" s="96"/>
      <c r="CY469" s="96"/>
      <c r="CZ469" s="96"/>
      <c r="DA469" s="96"/>
      <c r="DB469" s="96"/>
      <c r="DC469" s="96"/>
      <c r="DD469" s="96"/>
      <c r="DE469" s="96"/>
      <c r="DF469" s="96"/>
      <c r="DG469" s="96"/>
      <c r="DH469" s="96"/>
      <c r="DI469" s="96"/>
      <c r="DJ469" s="96"/>
      <c r="DK469" s="96"/>
      <c r="DL469" s="96"/>
      <c r="DM469" s="96"/>
      <c r="DN469" s="96"/>
      <c r="DO469" s="96"/>
      <c r="DP469" s="96"/>
      <c r="DQ469" s="96"/>
      <c r="DR469" s="96"/>
      <c r="DS469" s="96"/>
      <c r="DT469" s="96"/>
      <c r="DU469" s="96"/>
      <c r="DV469" s="96"/>
      <c r="DW469" s="96"/>
      <c r="DX469" s="96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96"/>
      <c r="EK469" s="96"/>
      <c r="EL469" s="96"/>
      <c r="EM469" s="96"/>
      <c r="EN469" s="96"/>
      <c r="EO469" s="96"/>
      <c r="EP469" s="96"/>
      <c r="EQ469" s="96"/>
      <c r="ER469" s="96"/>
      <c r="ES469" s="96"/>
      <c r="ET469" s="96"/>
      <c r="EU469" s="96"/>
      <c r="EV469" s="96"/>
      <c r="EW469" s="96"/>
      <c r="EX469" s="96"/>
      <c r="EY469" s="96"/>
      <c r="EZ469" s="96"/>
      <c r="FA469" s="96"/>
      <c r="FB469" s="96"/>
      <c r="FC469" s="96"/>
      <c r="FD469" s="96"/>
      <c r="FE469" s="96"/>
      <c r="FF469" s="96"/>
      <c r="FG469" s="96"/>
      <c r="FH469" s="96"/>
      <c r="FI469" s="96"/>
      <c r="FJ469" s="96"/>
      <c r="FK469" s="96"/>
      <c r="FL469" s="96"/>
      <c r="FM469" s="96"/>
      <c r="FN469" s="96"/>
      <c r="FO469" s="96"/>
      <c r="FP469" s="96"/>
      <c r="FQ469" s="96"/>
      <c r="FR469" s="96"/>
      <c r="FS469" s="96"/>
      <c r="FT469" s="96"/>
      <c r="FU469" s="96"/>
      <c r="FV469" s="96"/>
      <c r="FW469" s="96"/>
      <c r="FX469" s="96"/>
      <c r="FY469" s="96"/>
      <c r="FZ469" s="96"/>
      <c r="GA469" s="96"/>
      <c r="GB469" s="96"/>
      <c r="GC469" s="96"/>
      <c r="GD469" s="96"/>
      <c r="GE469" s="96"/>
      <c r="GF469" s="96"/>
      <c r="GG469" s="96"/>
      <c r="GH469" s="96"/>
      <c r="GI469" s="96"/>
      <c r="GJ469" s="96"/>
      <c r="GK469" s="96"/>
      <c r="GL469" s="96"/>
      <c r="GM469" s="96"/>
      <c r="GN469" s="96"/>
      <c r="GO469" s="96"/>
      <c r="GP469" s="96"/>
    </row>
    <row r="470" spans="1:198" ht="13.5" hidden="1" customHeight="1">
      <c r="A470" s="353"/>
      <c r="B470" s="369"/>
      <c r="C470" s="357"/>
      <c r="D470" s="357"/>
      <c r="E470" s="481"/>
      <c r="F470" s="385"/>
      <c r="G470" s="356"/>
      <c r="H470" s="90">
        <v>6050</v>
      </c>
      <c r="I470" s="61" t="s">
        <v>70</v>
      </c>
      <c r="J470" s="65"/>
      <c r="K470" s="65"/>
      <c r="L470" s="84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371"/>
      <c r="Y470" s="40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  <c r="BB470" s="96"/>
      <c r="BC470" s="96"/>
      <c r="BD470" s="96"/>
      <c r="BE470" s="96"/>
      <c r="BF470" s="96"/>
      <c r="BG470" s="96"/>
      <c r="BH470" s="96"/>
      <c r="BI470" s="96"/>
      <c r="BJ470" s="96"/>
      <c r="BK470" s="96"/>
      <c r="BL470" s="96"/>
      <c r="BM470" s="96"/>
      <c r="BN470" s="96"/>
      <c r="BO470" s="96"/>
      <c r="BP470" s="96"/>
      <c r="BQ470" s="96"/>
      <c r="BR470" s="96"/>
      <c r="BS470" s="96"/>
      <c r="BT470" s="96"/>
      <c r="BU470" s="96"/>
      <c r="BV470" s="96"/>
      <c r="BW470" s="96"/>
      <c r="BX470" s="96"/>
      <c r="BY470" s="96"/>
      <c r="BZ470" s="96"/>
      <c r="CA470" s="96"/>
      <c r="CB470" s="96"/>
      <c r="CC470" s="96"/>
      <c r="CD470" s="96"/>
      <c r="CE470" s="96"/>
      <c r="CF470" s="96"/>
      <c r="CG470" s="96"/>
      <c r="CH470" s="96"/>
      <c r="CI470" s="96"/>
      <c r="CJ470" s="96"/>
      <c r="CK470" s="96"/>
      <c r="CL470" s="96"/>
      <c r="CM470" s="96"/>
      <c r="CN470" s="96"/>
      <c r="CO470" s="96"/>
      <c r="CP470" s="96"/>
      <c r="CQ470" s="96"/>
      <c r="CR470" s="96"/>
      <c r="CS470" s="96"/>
      <c r="CT470" s="96"/>
      <c r="CU470" s="96"/>
      <c r="CV470" s="96"/>
      <c r="CW470" s="96"/>
      <c r="CX470" s="96"/>
      <c r="CY470" s="96"/>
      <c r="CZ470" s="96"/>
      <c r="DA470" s="96"/>
      <c r="DB470" s="96"/>
      <c r="DC470" s="96"/>
      <c r="DD470" s="96"/>
      <c r="DE470" s="96"/>
      <c r="DF470" s="96"/>
      <c r="DG470" s="96"/>
      <c r="DH470" s="96"/>
      <c r="DI470" s="96"/>
      <c r="DJ470" s="96"/>
      <c r="DK470" s="96"/>
      <c r="DL470" s="96"/>
      <c r="DM470" s="96"/>
      <c r="DN470" s="96"/>
      <c r="DO470" s="96"/>
      <c r="DP470" s="96"/>
      <c r="DQ470" s="96"/>
      <c r="DR470" s="96"/>
      <c r="DS470" s="96"/>
      <c r="DT470" s="96"/>
      <c r="DU470" s="96"/>
      <c r="DV470" s="96"/>
      <c r="DW470" s="96"/>
      <c r="DX470" s="96"/>
      <c r="DY470" s="96"/>
      <c r="DZ470" s="96"/>
      <c r="EA470" s="96"/>
      <c r="EB470" s="96"/>
      <c r="EC470" s="96"/>
      <c r="ED470" s="96"/>
      <c r="EE470" s="96"/>
      <c r="EF470" s="96"/>
      <c r="EG470" s="96"/>
      <c r="EH470" s="96"/>
      <c r="EI470" s="96"/>
      <c r="EJ470" s="96"/>
      <c r="EK470" s="96"/>
      <c r="EL470" s="96"/>
      <c r="EM470" s="96"/>
      <c r="EN470" s="96"/>
      <c r="EO470" s="96"/>
      <c r="EP470" s="96"/>
      <c r="EQ470" s="96"/>
      <c r="ER470" s="96"/>
      <c r="ES470" s="96"/>
      <c r="ET470" s="96"/>
      <c r="EU470" s="96"/>
      <c r="EV470" s="96"/>
      <c r="EW470" s="96"/>
      <c r="EX470" s="96"/>
      <c r="EY470" s="96"/>
      <c r="EZ470" s="96"/>
      <c r="FA470" s="96"/>
      <c r="FB470" s="96"/>
      <c r="FC470" s="96"/>
      <c r="FD470" s="96"/>
      <c r="FE470" s="96"/>
      <c r="FF470" s="96"/>
      <c r="FG470" s="96"/>
      <c r="FH470" s="96"/>
      <c r="FI470" s="96"/>
      <c r="FJ470" s="96"/>
      <c r="FK470" s="96"/>
      <c r="FL470" s="96"/>
      <c r="FM470" s="96"/>
      <c r="FN470" s="96"/>
      <c r="FO470" s="96"/>
      <c r="FP470" s="96"/>
      <c r="FQ470" s="96"/>
      <c r="FR470" s="96"/>
      <c r="FS470" s="96"/>
      <c r="FT470" s="96"/>
      <c r="FU470" s="96"/>
      <c r="FV470" s="96"/>
      <c r="FW470" s="96"/>
      <c r="FX470" s="96"/>
      <c r="FY470" s="96"/>
      <c r="FZ470" s="96"/>
      <c r="GA470" s="96"/>
      <c r="GB470" s="96"/>
      <c r="GC470" s="96"/>
      <c r="GD470" s="96"/>
      <c r="GE470" s="96"/>
      <c r="GF470" s="96"/>
      <c r="GG470" s="96"/>
      <c r="GH470" s="96"/>
      <c r="GI470" s="96"/>
      <c r="GJ470" s="96"/>
      <c r="GK470" s="96"/>
      <c r="GL470" s="96"/>
      <c r="GM470" s="96"/>
      <c r="GN470" s="96"/>
      <c r="GO470" s="96"/>
      <c r="GP470" s="96"/>
    </row>
    <row r="471" spans="1:198" ht="18" hidden="1" customHeight="1">
      <c r="A471" s="353"/>
      <c r="B471" s="369"/>
      <c r="C471" s="357"/>
      <c r="D471" s="357"/>
      <c r="E471" s="481"/>
      <c r="F471" s="385"/>
      <c r="G471" s="356"/>
      <c r="H471" s="90"/>
      <c r="I471" s="64" t="s">
        <v>26</v>
      </c>
      <c r="J471" s="65"/>
      <c r="K471" s="65"/>
      <c r="L471" s="65">
        <f t="shared" ref="L471:P471" si="147">SUM(L467:L470)</f>
        <v>0</v>
      </c>
      <c r="M471" s="65">
        <f t="shared" si="147"/>
        <v>0</v>
      </c>
      <c r="N471" s="65">
        <f t="shared" si="147"/>
        <v>0</v>
      </c>
      <c r="O471" s="65">
        <f t="shared" si="147"/>
        <v>0</v>
      </c>
      <c r="P471" s="65">
        <f t="shared" si="147"/>
        <v>0</v>
      </c>
      <c r="Q471" s="65"/>
      <c r="R471" s="65"/>
      <c r="S471" s="65"/>
      <c r="T471" s="65"/>
      <c r="U471" s="65"/>
      <c r="V471" s="65"/>
      <c r="W471" s="65"/>
      <c r="X471" s="371"/>
      <c r="Y471" s="40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  <c r="AV471" s="96"/>
      <c r="AW471" s="96"/>
      <c r="AX471" s="96"/>
      <c r="AY471" s="96"/>
      <c r="AZ471" s="96"/>
      <c r="BA471" s="96"/>
      <c r="BB471" s="96"/>
      <c r="BC471" s="96"/>
      <c r="BD471" s="96"/>
      <c r="BE471" s="96"/>
      <c r="BF471" s="96"/>
      <c r="BG471" s="96"/>
      <c r="BH471" s="96"/>
      <c r="BI471" s="96"/>
      <c r="BJ471" s="96"/>
      <c r="BK471" s="96"/>
      <c r="BL471" s="96"/>
      <c r="BM471" s="96"/>
      <c r="BN471" s="96"/>
      <c r="BO471" s="96"/>
      <c r="BP471" s="96"/>
      <c r="BQ471" s="96"/>
      <c r="BR471" s="96"/>
      <c r="BS471" s="96"/>
      <c r="BT471" s="96"/>
      <c r="BU471" s="96"/>
      <c r="BV471" s="96"/>
      <c r="BW471" s="96"/>
      <c r="BX471" s="96"/>
      <c r="BY471" s="96"/>
      <c r="BZ471" s="96"/>
      <c r="CA471" s="96"/>
      <c r="CB471" s="96"/>
      <c r="CC471" s="96"/>
      <c r="CD471" s="96"/>
      <c r="CE471" s="96"/>
      <c r="CF471" s="96"/>
      <c r="CG471" s="96"/>
      <c r="CH471" s="96"/>
      <c r="CI471" s="96"/>
      <c r="CJ471" s="96"/>
      <c r="CK471" s="96"/>
      <c r="CL471" s="96"/>
      <c r="CM471" s="96"/>
      <c r="CN471" s="96"/>
      <c r="CO471" s="96"/>
      <c r="CP471" s="96"/>
      <c r="CQ471" s="96"/>
      <c r="CR471" s="96"/>
      <c r="CS471" s="96"/>
      <c r="CT471" s="96"/>
      <c r="CU471" s="96"/>
      <c r="CV471" s="96"/>
      <c r="CW471" s="96"/>
      <c r="CX471" s="96"/>
      <c r="CY471" s="96"/>
      <c r="CZ471" s="96"/>
      <c r="DA471" s="96"/>
      <c r="DB471" s="96"/>
      <c r="DC471" s="96"/>
      <c r="DD471" s="96"/>
      <c r="DE471" s="96"/>
      <c r="DF471" s="96"/>
      <c r="DG471" s="96"/>
      <c r="DH471" s="96"/>
      <c r="DI471" s="96"/>
      <c r="DJ471" s="96"/>
      <c r="DK471" s="96"/>
      <c r="DL471" s="96"/>
      <c r="DM471" s="96"/>
      <c r="DN471" s="96"/>
      <c r="DO471" s="96"/>
      <c r="DP471" s="96"/>
      <c r="DQ471" s="96"/>
      <c r="DR471" s="96"/>
      <c r="DS471" s="96"/>
      <c r="DT471" s="96"/>
      <c r="DU471" s="96"/>
      <c r="DV471" s="96"/>
      <c r="DW471" s="96"/>
      <c r="DX471" s="96"/>
      <c r="DY471" s="96"/>
      <c r="DZ471" s="96"/>
      <c r="EA471" s="96"/>
      <c r="EB471" s="96"/>
      <c r="EC471" s="96"/>
      <c r="ED471" s="96"/>
      <c r="EE471" s="96"/>
      <c r="EF471" s="96"/>
      <c r="EG471" s="96"/>
      <c r="EH471" s="96"/>
      <c r="EI471" s="96"/>
      <c r="EJ471" s="96"/>
      <c r="EK471" s="96"/>
      <c r="EL471" s="96"/>
      <c r="EM471" s="96"/>
      <c r="EN471" s="96"/>
      <c r="EO471" s="96"/>
      <c r="EP471" s="96"/>
      <c r="EQ471" s="96"/>
      <c r="ER471" s="96"/>
      <c r="ES471" s="96"/>
      <c r="ET471" s="96"/>
      <c r="EU471" s="96"/>
      <c r="EV471" s="96"/>
      <c r="EW471" s="96"/>
      <c r="EX471" s="96"/>
      <c r="EY471" s="96"/>
      <c r="EZ471" s="96"/>
      <c r="FA471" s="96"/>
      <c r="FB471" s="96"/>
      <c r="FC471" s="96"/>
      <c r="FD471" s="96"/>
      <c r="FE471" s="96"/>
      <c r="FF471" s="96"/>
      <c r="FG471" s="96"/>
      <c r="FH471" s="96"/>
      <c r="FI471" s="96"/>
      <c r="FJ471" s="96"/>
      <c r="FK471" s="96"/>
      <c r="FL471" s="96"/>
      <c r="FM471" s="96"/>
      <c r="FN471" s="96"/>
      <c r="FO471" s="96"/>
      <c r="FP471" s="96"/>
      <c r="FQ471" s="96"/>
      <c r="FR471" s="96"/>
      <c r="FS471" s="96"/>
      <c r="FT471" s="96"/>
      <c r="FU471" s="96"/>
      <c r="FV471" s="96"/>
      <c r="FW471" s="96"/>
      <c r="FX471" s="96"/>
      <c r="FY471" s="96"/>
      <c r="FZ471" s="96"/>
      <c r="GA471" s="96"/>
      <c r="GB471" s="96"/>
      <c r="GC471" s="96"/>
      <c r="GD471" s="96"/>
      <c r="GE471" s="96"/>
      <c r="GF471" s="96"/>
      <c r="GG471" s="96"/>
      <c r="GH471" s="96"/>
      <c r="GI471" s="96"/>
      <c r="GJ471" s="96"/>
      <c r="GK471" s="96"/>
      <c r="GL471" s="96"/>
      <c r="GM471" s="96"/>
      <c r="GN471" s="96"/>
      <c r="GO471" s="96"/>
      <c r="GP471" s="96"/>
    </row>
    <row r="472" spans="1:198" ht="17.25" hidden="1" customHeight="1">
      <c r="A472" s="353">
        <v>43</v>
      </c>
      <c r="B472" s="368" t="s">
        <v>110</v>
      </c>
      <c r="C472" s="449">
        <v>2017</v>
      </c>
      <c r="D472" s="449">
        <v>2025</v>
      </c>
      <c r="E472" s="363" t="s">
        <v>27</v>
      </c>
      <c r="F472" s="414">
        <f>X472</f>
        <v>0</v>
      </c>
      <c r="G472" s="380">
        <v>60016</v>
      </c>
      <c r="H472" s="91">
        <v>6050</v>
      </c>
      <c r="I472" s="105" t="s">
        <v>28</v>
      </c>
      <c r="J472" s="102"/>
      <c r="K472" s="102"/>
      <c r="L472" s="100"/>
      <c r="M472" s="100"/>
      <c r="N472" s="100"/>
      <c r="O472" s="100"/>
      <c r="P472" s="100"/>
      <c r="Q472" s="98"/>
      <c r="R472" s="98"/>
      <c r="S472" s="98"/>
      <c r="T472" s="98"/>
      <c r="U472" s="98"/>
      <c r="V472" s="98"/>
      <c r="W472" s="98"/>
      <c r="X472" s="372">
        <f t="shared" ref="X472" si="148">SUM(L476:W476)</f>
        <v>0</v>
      </c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53"/>
      <c r="B473" s="369"/>
      <c r="C473" s="449"/>
      <c r="D473" s="449"/>
      <c r="E473" s="363"/>
      <c r="F473" s="414"/>
      <c r="G473" s="380"/>
      <c r="H473" s="91"/>
      <c r="I473" s="97" t="s">
        <v>31</v>
      </c>
      <c r="J473" s="102"/>
      <c r="K473" s="102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372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53"/>
      <c r="B474" s="369"/>
      <c r="C474" s="449"/>
      <c r="D474" s="449"/>
      <c r="E474" s="363"/>
      <c r="F474" s="414"/>
      <c r="G474" s="380"/>
      <c r="H474" s="91"/>
      <c r="I474" s="97" t="s">
        <v>30</v>
      </c>
      <c r="J474" s="102"/>
      <c r="K474" s="102"/>
      <c r="L474" s="98"/>
      <c r="M474" s="98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372"/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53"/>
      <c r="B475" s="369"/>
      <c r="C475" s="449"/>
      <c r="D475" s="449"/>
      <c r="E475" s="363"/>
      <c r="F475" s="414"/>
      <c r="G475" s="380"/>
      <c r="H475" s="91">
        <v>6050</v>
      </c>
      <c r="I475" s="97" t="s">
        <v>121</v>
      </c>
      <c r="J475" s="102"/>
      <c r="K475" s="102"/>
      <c r="L475" s="100"/>
      <c r="M475" s="98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372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53"/>
      <c r="B476" s="369"/>
      <c r="C476" s="449"/>
      <c r="D476" s="449"/>
      <c r="E476" s="363"/>
      <c r="F476" s="414"/>
      <c r="G476" s="380"/>
      <c r="H476" s="91"/>
      <c r="I476" s="101" t="s">
        <v>26</v>
      </c>
      <c r="J476" s="102"/>
      <c r="K476" s="102"/>
      <c r="L476" s="102">
        <f t="shared" ref="L476:P476" si="149">SUM(L472:L475)</f>
        <v>0</v>
      </c>
      <c r="M476" s="102">
        <f t="shared" si="149"/>
        <v>0</v>
      </c>
      <c r="N476" s="102">
        <f t="shared" si="149"/>
        <v>0</v>
      </c>
      <c r="O476" s="102">
        <f t="shared" si="149"/>
        <v>0</v>
      </c>
      <c r="P476" s="102">
        <f t="shared" si="149"/>
        <v>0</v>
      </c>
      <c r="Q476" s="102"/>
      <c r="R476" s="102"/>
      <c r="S476" s="102"/>
      <c r="T476" s="102"/>
      <c r="U476" s="102"/>
      <c r="V476" s="102"/>
      <c r="W476" s="102"/>
      <c r="X476" s="372"/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86">
        <v>42</v>
      </c>
      <c r="B477" s="368" t="s">
        <v>174</v>
      </c>
      <c r="C477" s="456">
        <v>2021</v>
      </c>
      <c r="D477" s="450">
        <v>2022</v>
      </c>
      <c r="E477" s="362" t="s">
        <v>27</v>
      </c>
      <c r="F477" s="382">
        <f>X477</f>
        <v>0</v>
      </c>
      <c r="G477" s="354">
        <v>60016</v>
      </c>
      <c r="H477" s="200">
        <v>6050</v>
      </c>
      <c r="I477" s="183" t="s">
        <v>28</v>
      </c>
      <c r="J477" s="161"/>
      <c r="K477" s="161"/>
      <c r="L477" s="156"/>
      <c r="M477" s="156"/>
      <c r="N477" s="156"/>
      <c r="O477" s="156"/>
      <c r="P477" s="156"/>
      <c r="Q477" s="187"/>
      <c r="R477" s="187"/>
      <c r="S477" s="187"/>
      <c r="T477" s="187"/>
      <c r="U477" s="187"/>
      <c r="V477" s="187"/>
      <c r="W477" s="187"/>
      <c r="X477" s="366">
        <f t="shared" ref="X477" si="150">SUM(L481:W481)</f>
        <v>0</v>
      </c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15.75" hidden="1" customHeight="1">
      <c r="A478" s="387"/>
      <c r="B478" s="369"/>
      <c r="C478" s="457"/>
      <c r="D478" s="451"/>
      <c r="E478" s="362"/>
      <c r="F478" s="382"/>
      <c r="G478" s="354"/>
      <c r="H478" s="200">
        <v>6370</v>
      </c>
      <c r="I478" s="166" t="s">
        <v>178</v>
      </c>
      <c r="J478" s="161"/>
      <c r="K478" s="161"/>
      <c r="L478" s="156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366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5.75" hidden="1" customHeight="1">
      <c r="A479" s="387"/>
      <c r="B479" s="369"/>
      <c r="C479" s="457"/>
      <c r="D479" s="451"/>
      <c r="E479" s="362"/>
      <c r="F479" s="382"/>
      <c r="G479" s="354"/>
      <c r="H479" s="200"/>
      <c r="I479" s="166" t="s">
        <v>30</v>
      </c>
      <c r="J479" s="161"/>
      <c r="K479" s="161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366"/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15.75" hidden="1" customHeight="1">
      <c r="A480" s="387"/>
      <c r="B480" s="369"/>
      <c r="C480" s="457"/>
      <c r="D480" s="451"/>
      <c r="E480" s="362"/>
      <c r="F480" s="382"/>
      <c r="G480" s="354"/>
      <c r="H480" s="200"/>
      <c r="I480" s="166" t="s">
        <v>121</v>
      </c>
      <c r="J480" s="161"/>
      <c r="K480" s="161"/>
      <c r="L480" s="156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366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6.75" hidden="1" customHeight="1">
      <c r="A481" s="388"/>
      <c r="B481" s="553"/>
      <c r="C481" s="458"/>
      <c r="D481" s="452"/>
      <c r="E481" s="580"/>
      <c r="F481" s="382"/>
      <c r="G481" s="354"/>
      <c r="H481" s="200"/>
      <c r="I481" s="160" t="s">
        <v>26</v>
      </c>
      <c r="J481" s="161"/>
      <c r="K481" s="161"/>
      <c r="L481" s="161">
        <f t="shared" ref="L481:P481" si="151">SUM(L477:L480)</f>
        <v>0</v>
      </c>
      <c r="M481" s="161">
        <f t="shared" si="151"/>
        <v>0</v>
      </c>
      <c r="N481" s="161">
        <f t="shared" si="151"/>
        <v>0</v>
      </c>
      <c r="O481" s="161">
        <f t="shared" si="151"/>
        <v>0</v>
      </c>
      <c r="P481" s="161">
        <f t="shared" si="151"/>
        <v>0</v>
      </c>
      <c r="Q481" s="161"/>
      <c r="R481" s="161"/>
      <c r="S481" s="161"/>
      <c r="T481" s="161"/>
      <c r="U481" s="161"/>
      <c r="V481" s="161"/>
      <c r="W481" s="161"/>
      <c r="X481" s="366"/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4.25" hidden="1" customHeight="1">
      <c r="A482" s="353">
        <v>26</v>
      </c>
      <c r="B482" s="368" t="s">
        <v>111</v>
      </c>
      <c r="C482" s="370">
        <v>2020</v>
      </c>
      <c r="D482" s="370">
        <v>2023</v>
      </c>
      <c r="E482" s="578" t="s">
        <v>27</v>
      </c>
      <c r="F482" s="382">
        <f>X482</f>
        <v>0</v>
      </c>
      <c r="G482" s="575">
        <v>60016</v>
      </c>
      <c r="H482" s="200">
        <v>6050</v>
      </c>
      <c r="I482" s="183" t="s">
        <v>28</v>
      </c>
      <c r="J482" s="161">
        <v>20000</v>
      </c>
      <c r="K482" s="161"/>
      <c r="L482" s="156"/>
      <c r="M482" s="156"/>
      <c r="N482" s="156"/>
      <c r="O482" s="156"/>
      <c r="P482" s="187"/>
      <c r="Q482" s="187"/>
      <c r="R482" s="187"/>
      <c r="S482" s="187"/>
      <c r="T482" s="187"/>
      <c r="U482" s="187"/>
      <c r="V482" s="187"/>
      <c r="W482" s="187"/>
      <c r="X482" s="366">
        <f>SUM(L486:W486)</f>
        <v>0</v>
      </c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4.25" hidden="1" customHeight="1">
      <c r="A483" s="353"/>
      <c r="B483" s="369"/>
      <c r="C483" s="370"/>
      <c r="D483" s="370"/>
      <c r="E483" s="362"/>
      <c r="F483" s="382"/>
      <c r="G483" s="576"/>
      <c r="H483" s="200"/>
      <c r="I483" s="166" t="s">
        <v>31</v>
      </c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366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4.25" hidden="1" customHeight="1">
      <c r="A484" s="353"/>
      <c r="B484" s="369"/>
      <c r="C484" s="370"/>
      <c r="D484" s="370"/>
      <c r="E484" s="362"/>
      <c r="F484" s="382"/>
      <c r="G484" s="576"/>
      <c r="H484" s="200"/>
      <c r="I484" s="166" t="s">
        <v>30</v>
      </c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366"/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5.75" hidden="1" customHeight="1">
      <c r="A485" s="353"/>
      <c r="B485" s="369"/>
      <c r="C485" s="370"/>
      <c r="D485" s="370"/>
      <c r="E485" s="362"/>
      <c r="F485" s="382"/>
      <c r="G485" s="576"/>
      <c r="H485" s="224"/>
      <c r="I485" s="166" t="s">
        <v>122</v>
      </c>
      <c r="J485" s="223"/>
      <c r="K485" s="223"/>
      <c r="L485" s="156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366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2.75" hidden="1" customHeight="1">
      <c r="A486" s="353"/>
      <c r="B486" s="553"/>
      <c r="C486" s="370"/>
      <c r="D486" s="370"/>
      <c r="E486" s="362"/>
      <c r="F486" s="382"/>
      <c r="G486" s="577"/>
      <c r="H486" s="200"/>
      <c r="I486" s="160" t="s">
        <v>26</v>
      </c>
      <c r="J486" s="161"/>
      <c r="K486" s="161"/>
      <c r="L486" s="161">
        <f t="shared" ref="L486:P486" si="152">SUM(L482:L485)</f>
        <v>0</v>
      </c>
      <c r="M486" s="161">
        <f t="shared" si="152"/>
        <v>0</v>
      </c>
      <c r="N486" s="161">
        <f t="shared" si="152"/>
        <v>0</v>
      </c>
      <c r="O486" s="161">
        <f t="shared" si="152"/>
        <v>0</v>
      </c>
      <c r="P486" s="161">
        <f t="shared" si="152"/>
        <v>0</v>
      </c>
      <c r="Q486" s="161"/>
      <c r="R486" s="161"/>
      <c r="S486" s="161"/>
      <c r="T486" s="161"/>
      <c r="U486" s="161"/>
      <c r="V486" s="161"/>
      <c r="W486" s="161"/>
      <c r="X486" s="366"/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4.25" customHeight="1">
      <c r="A487" s="386">
        <v>36</v>
      </c>
      <c r="B487" s="563" t="s">
        <v>146</v>
      </c>
      <c r="C487" s="456">
        <v>2022</v>
      </c>
      <c r="D487" s="450">
        <v>2025</v>
      </c>
      <c r="E487" s="362" t="s">
        <v>260</v>
      </c>
      <c r="F487" s="382">
        <f>X487+85239+2135000-699460</f>
        <v>10332777</v>
      </c>
      <c r="G487" s="354">
        <v>60016</v>
      </c>
      <c r="H487" s="200">
        <v>6050</v>
      </c>
      <c r="I487" s="183" t="s">
        <v>28</v>
      </c>
      <c r="J487" s="161"/>
      <c r="K487" s="161"/>
      <c r="L487" s="156"/>
      <c r="M487" s="156"/>
      <c r="N487" s="156">
        <v>1211998</v>
      </c>
      <c r="O487" s="156"/>
      <c r="P487" s="156"/>
      <c r="Q487" s="156"/>
      <c r="R487" s="187"/>
      <c r="S487" s="187"/>
      <c r="T487" s="187"/>
      <c r="U487" s="187"/>
      <c r="V487" s="187"/>
      <c r="W487" s="187"/>
      <c r="X487" s="366">
        <f>SUM(L491:W491)</f>
        <v>8811998</v>
      </c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4.25" customHeight="1">
      <c r="A488" s="387"/>
      <c r="B488" s="563"/>
      <c r="C488" s="457"/>
      <c r="D488" s="451"/>
      <c r="E488" s="362"/>
      <c r="F488" s="382"/>
      <c r="G488" s="354"/>
      <c r="H488" s="200">
        <v>6370</v>
      </c>
      <c r="I488" s="155" t="s">
        <v>179</v>
      </c>
      <c r="J488" s="161"/>
      <c r="K488" s="161"/>
      <c r="L488" s="187"/>
      <c r="M488" s="156">
        <v>0</v>
      </c>
      <c r="N488" s="156">
        <v>7600000</v>
      </c>
      <c r="O488" s="187"/>
      <c r="P488" s="187"/>
      <c r="Q488" s="187"/>
      <c r="R488" s="187"/>
      <c r="S488" s="187"/>
      <c r="T488" s="187"/>
      <c r="U488" s="187"/>
      <c r="V488" s="187"/>
      <c r="W488" s="187"/>
      <c r="X488" s="366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87"/>
      <c r="B489" s="563"/>
      <c r="C489" s="457"/>
      <c r="D489" s="451"/>
      <c r="E489" s="362"/>
      <c r="F489" s="382"/>
      <c r="G489" s="354"/>
      <c r="H489" s="200"/>
      <c r="I489" s="166" t="s">
        <v>30</v>
      </c>
      <c r="J489" s="161"/>
      <c r="K489" s="161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366"/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12" customHeight="1">
      <c r="A490" s="387"/>
      <c r="B490" s="563"/>
      <c r="C490" s="457"/>
      <c r="D490" s="451"/>
      <c r="E490" s="362"/>
      <c r="F490" s="382"/>
      <c r="G490" s="354"/>
      <c r="H490" s="200"/>
      <c r="I490" s="166" t="s">
        <v>121</v>
      </c>
      <c r="J490" s="161"/>
      <c r="K490" s="161"/>
      <c r="L490" s="156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366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23.25" customHeight="1">
      <c r="A491" s="388"/>
      <c r="B491" s="564"/>
      <c r="C491" s="458"/>
      <c r="D491" s="452"/>
      <c r="E491" s="362"/>
      <c r="F491" s="382"/>
      <c r="G491" s="354"/>
      <c r="H491" s="200"/>
      <c r="I491" s="160" t="s">
        <v>26</v>
      </c>
      <c r="J491" s="161"/>
      <c r="K491" s="161"/>
      <c r="L491" s="161">
        <f t="shared" ref="L491:Q491" si="153">SUM(L487:L490)</f>
        <v>0</v>
      </c>
      <c r="M491" s="161">
        <f t="shared" si="153"/>
        <v>0</v>
      </c>
      <c r="N491" s="161">
        <f t="shared" si="153"/>
        <v>8811998</v>
      </c>
      <c r="O491" s="161">
        <f t="shared" si="153"/>
        <v>0</v>
      </c>
      <c r="P491" s="161">
        <f t="shared" si="153"/>
        <v>0</v>
      </c>
      <c r="Q491" s="161">
        <f t="shared" si="153"/>
        <v>0</v>
      </c>
      <c r="R491" s="161"/>
      <c r="S491" s="161"/>
      <c r="T491" s="161"/>
      <c r="U491" s="161"/>
      <c r="V491" s="161"/>
      <c r="W491" s="161"/>
      <c r="X491" s="366"/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86">
        <v>37</v>
      </c>
      <c r="B492" s="364" t="s">
        <v>221</v>
      </c>
      <c r="C492" s="456">
        <v>2024</v>
      </c>
      <c r="D492" s="450">
        <v>2028</v>
      </c>
      <c r="E492" s="362" t="s">
        <v>260</v>
      </c>
      <c r="F492" s="382">
        <f>X492</f>
        <v>500000</v>
      </c>
      <c r="G492" s="354">
        <v>60016</v>
      </c>
      <c r="H492" s="200">
        <v>6050</v>
      </c>
      <c r="I492" s="183" t="s">
        <v>28</v>
      </c>
      <c r="J492" s="161"/>
      <c r="K492" s="161"/>
      <c r="L492" s="156"/>
      <c r="M492" s="156">
        <v>0</v>
      </c>
      <c r="N492" s="156"/>
      <c r="O492" s="156"/>
      <c r="P492" s="156">
        <v>200000</v>
      </c>
      <c r="Q492" s="156">
        <v>300000</v>
      </c>
      <c r="R492" s="187"/>
      <c r="S492" s="187"/>
      <c r="T492" s="187"/>
      <c r="U492" s="187"/>
      <c r="V492" s="187"/>
      <c r="W492" s="187"/>
      <c r="X492" s="366">
        <f>SUM(L496:W496)</f>
        <v>500000</v>
      </c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87"/>
      <c r="B493" s="364"/>
      <c r="C493" s="457"/>
      <c r="D493" s="451"/>
      <c r="E493" s="362"/>
      <c r="F493" s="382"/>
      <c r="G493" s="354"/>
      <c r="H493" s="200"/>
      <c r="I493" s="166" t="s">
        <v>31</v>
      </c>
      <c r="J493" s="161"/>
      <c r="K493" s="161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366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2" customHeight="1">
      <c r="A494" s="387"/>
      <c r="B494" s="364"/>
      <c r="C494" s="457"/>
      <c r="D494" s="451"/>
      <c r="E494" s="362"/>
      <c r="F494" s="382"/>
      <c r="G494" s="354"/>
      <c r="H494" s="200"/>
      <c r="I494" s="166" t="s">
        <v>30</v>
      </c>
      <c r="J494" s="161"/>
      <c r="K494" s="161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366"/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12" customHeight="1">
      <c r="A495" s="387"/>
      <c r="B495" s="364"/>
      <c r="C495" s="457"/>
      <c r="D495" s="451"/>
      <c r="E495" s="362"/>
      <c r="F495" s="382"/>
      <c r="G495" s="354"/>
      <c r="H495" s="200"/>
      <c r="I495" s="166" t="s">
        <v>121</v>
      </c>
      <c r="J495" s="161"/>
      <c r="K495" s="161"/>
      <c r="L495" s="156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366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25.5" customHeight="1">
      <c r="A496" s="388"/>
      <c r="B496" s="365"/>
      <c r="C496" s="458"/>
      <c r="D496" s="452"/>
      <c r="E496" s="362"/>
      <c r="F496" s="382"/>
      <c r="G496" s="354"/>
      <c r="H496" s="200"/>
      <c r="I496" s="160" t="s">
        <v>26</v>
      </c>
      <c r="J496" s="161"/>
      <c r="K496" s="161"/>
      <c r="L496" s="161">
        <f t="shared" ref="L496:W496" si="154">SUM(L492:L495)</f>
        <v>0</v>
      </c>
      <c r="M496" s="161">
        <f t="shared" si="154"/>
        <v>0</v>
      </c>
      <c r="N496" s="161">
        <f t="shared" si="154"/>
        <v>0</v>
      </c>
      <c r="O496" s="161">
        <f t="shared" si="154"/>
        <v>0</v>
      </c>
      <c r="P496" s="161">
        <f t="shared" si="154"/>
        <v>200000</v>
      </c>
      <c r="Q496" s="161">
        <f t="shared" si="154"/>
        <v>300000</v>
      </c>
      <c r="R496" s="161">
        <f t="shared" si="154"/>
        <v>0</v>
      </c>
      <c r="S496" s="161">
        <f t="shared" si="154"/>
        <v>0</v>
      </c>
      <c r="T496" s="161">
        <f t="shared" si="154"/>
        <v>0</v>
      </c>
      <c r="U496" s="161">
        <f t="shared" si="154"/>
        <v>0</v>
      </c>
      <c r="V496" s="161">
        <f t="shared" si="154"/>
        <v>0</v>
      </c>
      <c r="W496" s="161">
        <f t="shared" si="154"/>
        <v>0</v>
      </c>
      <c r="X496" s="366"/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3.5" customHeight="1">
      <c r="A497" s="386">
        <v>38</v>
      </c>
      <c r="B497" s="364" t="s">
        <v>259</v>
      </c>
      <c r="C497" s="456">
        <v>2025</v>
      </c>
      <c r="D497" s="450">
        <v>2026</v>
      </c>
      <c r="E497" s="362" t="s">
        <v>260</v>
      </c>
      <c r="F497" s="382">
        <f>X497</f>
        <v>90000</v>
      </c>
      <c r="G497" s="354">
        <v>60016</v>
      </c>
      <c r="H497" s="200">
        <v>6050</v>
      </c>
      <c r="I497" s="183" t="s">
        <v>28</v>
      </c>
      <c r="J497" s="161"/>
      <c r="K497" s="161"/>
      <c r="L497" s="156"/>
      <c r="M497" s="164"/>
      <c r="N497" s="156">
        <v>1000</v>
      </c>
      <c r="O497" s="156">
        <v>89000</v>
      </c>
      <c r="P497" s="276"/>
      <c r="Q497" s="276"/>
      <c r="R497" s="187"/>
      <c r="S497" s="187"/>
      <c r="T497" s="187"/>
      <c r="U497" s="187"/>
      <c r="V497" s="187"/>
      <c r="W497" s="187"/>
      <c r="X497" s="366">
        <f>SUM(L501:W501)</f>
        <v>90000</v>
      </c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customHeight="1">
      <c r="A498" s="387"/>
      <c r="B498" s="364"/>
      <c r="C498" s="457"/>
      <c r="D498" s="451"/>
      <c r="E498" s="362"/>
      <c r="F498" s="382"/>
      <c r="G498" s="354"/>
      <c r="H498" s="200"/>
      <c r="I498" s="166" t="s">
        <v>31</v>
      </c>
      <c r="J498" s="161"/>
      <c r="K498" s="161"/>
      <c r="L498" s="187"/>
      <c r="M498" s="278"/>
      <c r="N498" s="278"/>
      <c r="O498" s="187"/>
      <c r="P498" s="277"/>
      <c r="Q498" s="277"/>
      <c r="R498" s="187"/>
      <c r="S498" s="187"/>
      <c r="T498" s="187"/>
      <c r="U498" s="187"/>
      <c r="V498" s="187"/>
      <c r="W498" s="187"/>
      <c r="X498" s="366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2" customHeight="1">
      <c r="A499" s="387"/>
      <c r="B499" s="364"/>
      <c r="C499" s="457"/>
      <c r="D499" s="451"/>
      <c r="E499" s="362"/>
      <c r="F499" s="382"/>
      <c r="G499" s="354"/>
      <c r="H499" s="200"/>
      <c r="I499" s="166" t="s">
        <v>30</v>
      </c>
      <c r="J499" s="161"/>
      <c r="K499" s="161"/>
      <c r="L499" s="187"/>
      <c r="M499" s="242"/>
      <c r="N499" s="242"/>
      <c r="O499" s="187"/>
      <c r="P499" s="187"/>
      <c r="Q499" s="187"/>
      <c r="R499" s="187"/>
      <c r="S499" s="187"/>
      <c r="T499" s="187"/>
      <c r="U499" s="187"/>
      <c r="V499" s="187"/>
      <c r="W499" s="187"/>
      <c r="X499" s="366"/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12" customHeight="1">
      <c r="A500" s="387"/>
      <c r="B500" s="364"/>
      <c r="C500" s="457"/>
      <c r="D500" s="451"/>
      <c r="E500" s="362"/>
      <c r="F500" s="382"/>
      <c r="G500" s="354"/>
      <c r="H500" s="200"/>
      <c r="I500" s="166" t="s">
        <v>121</v>
      </c>
      <c r="J500" s="161"/>
      <c r="K500" s="161"/>
      <c r="L500" s="156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366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22.5" customHeight="1">
      <c r="A501" s="388"/>
      <c r="B501" s="365"/>
      <c r="C501" s="458"/>
      <c r="D501" s="452"/>
      <c r="E501" s="362"/>
      <c r="F501" s="382"/>
      <c r="G501" s="354"/>
      <c r="H501" s="200"/>
      <c r="I501" s="160" t="s">
        <v>26</v>
      </c>
      <c r="J501" s="161"/>
      <c r="K501" s="161"/>
      <c r="L501" s="161">
        <f t="shared" ref="L501:W501" si="155">SUM(L497:L500)</f>
        <v>0</v>
      </c>
      <c r="M501" s="161">
        <f t="shared" si="155"/>
        <v>0</v>
      </c>
      <c r="N501" s="161">
        <f t="shared" si="155"/>
        <v>1000</v>
      </c>
      <c r="O501" s="350">
        <f t="shared" si="155"/>
        <v>89000</v>
      </c>
      <c r="P501" s="161">
        <f t="shared" si="155"/>
        <v>0</v>
      </c>
      <c r="Q501" s="161">
        <f t="shared" si="155"/>
        <v>0</v>
      </c>
      <c r="R501" s="161">
        <f t="shared" si="155"/>
        <v>0</v>
      </c>
      <c r="S501" s="161">
        <f t="shared" si="155"/>
        <v>0</v>
      </c>
      <c r="T501" s="161">
        <f t="shared" si="155"/>
        <v>0</v>
      </c>
      <c r="U501" s="161">
        <f t="shared" si="155"/>
        <v>0</v>
      </c>
      <c r="V501" s="161">
        <f t="shared" si="155"/>
        <v>0</v>
      </c>
      <c r="W501" s="161">
        <f t="shared" si="155"/>
        <v>0</v>
      </c>
      <c r="X501" s="366"/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customHeight="1">
      <c r="A502" s="386">
        <v>39</v>
      </c>
      <c r="B502" s="364" t="s">
        <v>261</v>
      </c>
      <c r="C502" s="456">
        <v>2025</v>
      </c>
      <c r="D502" s="450">
        <v>2026</v>
      </c>
      <c r="E502" s="362" t="s">
        <v>260</v>
      </c>
      <c r="F502" s="382">
        <f>X502</f>
        <v>50000</v>
      </c>
      <c r="G502" s="354">
        <v>60016</v>
      </c>
      <c r="H502" s="200">
        <v>6050</v>
      </c>
      <c r="I502" s="183" t="s">
        <v>28</v>
      </c>
      <c r="J502" s="161"/>
      <c r="K502" s="161"/>
      <c r="L502" s="156"/>
      <c r="M502" s="156">
        <v>0</v>
      </c>
      <c r="N502" s="156">
        <v>1000</v>
      </c>
      <c r="O502" s="156">
        <v>49000</v>
      </c>
      <c r="P502" s="157"/>
      <c r="Q502" s="157"/>
      <c r="R502" s="187"/>
      <c r="S502" s="187"/>
      <c r="T502" s="187"/>
      <c r="U502" s="187"/>
      <c r="V502" s="187"/>
      <c r="W502" s="187"/>
      <c r="X502" s="366">
        <f t="shared" ref="X502" si="156">SUM(L506:W506)</f>
        <v>50000</v>
      </c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13.5" customHeight="1">
      <c r="A503" s="387"/>
      <c r="B503" s="364"/>
      <c r="C503" s="457"/>
      <c r="D503" s="451"/>
      <c r="E503" s="362"/>
      <c r="F503" s="382"/>
      <c r="G503" s="354"/>
      <c r="H503" s="200"/>
      <c r="I503" s="166" t="s">
        <v>31</v>
      </c>
      <c r="J503" s="161"/>
      <c r="K503" s="161"/>
      <c r="L503" s="187"/>
      <c r="M503" s="187"/>
      <c r="N503" s="278"/>
      <c r="O503" s="187"/>
      <c r="P503" s="187"/>
      <c r="Q503" s="187"/>
      <c r="R503" s="187"/>
      <c r="S503" s="187"/>
      <c r="T503" s="187"/>
      <c r="U503" s="187"/>
      <c r="V503" s="187"/>
      <c r="W503" s="187"/>
      <c r="X503" s="366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3.5" customHeight="1">
      <c r="A504" s="387"/>
      <c r="B504" s="364"/>
      <c r="C504" s="457"/>
      <c r="D504" s="451"/>
      <c r="E504" s="362"/>
      <c r="F504" s="382"/>
      <c r="G504" s="354"/>
      <c r="H504" s="200"/>
      <c r="I504" s="166" t="s">
        <v>30</v>
      </c>
      <c r="J504" s="161"/>
      <c r="K504" s="161"/>
      <c r="L504" s="187"/>
      <c r="M504" s="187"/>
      <c r="N504" s="242"/>
      <c r="O504" s="187"/>
      <c r="P504" s="187"/>
      <c r="Q504" s="187"/>
      <c r="R504" s="187"/>
      <c r="S504" s="187"/>
      <c r="T504" s="187"/>
      <c r="U504" s="187"/>
      <c r="V504" s="187"/>
      <c r="W504" s="187"/>
      <c r="X504" s="366"/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13.5" customHeight="1">
      <c r="A505" s="387"/>
      <c r="B505" s="364"/>
      <c r="C505" s="457"/>
      <c r="D505" s="451"/>
      <c r="E505" s="362"/>
      <c r="F505" s="382"/>
      <c r="G505" s="354"/>
      <c r="H505" s="200"/>
      <c r="I505" s="166" t="s">
        <v>121</v>
      </c>
      <c r="J505" s="161"/>
      <c r="K505" s="161"/>
      <c r="L505" s="156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366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21.75" customHeight="1">
      <c r="A506" s="388"/>
      <c r="B506" s="365"/>
      <c r="C506" s="458"/>
      <c r="D506" s="452"/>
      <c r="E506" s="362"/>
      <c r="F506" s="382"/>
      <c r="G506" s="354"/>
      <c r="H506" s="200"/>
      <c r="I506" s="160" t="s">
        <v>26</v>
      </c>
      <c r="J506" s="161"/>
      <c r="K506" s="161"/>
      <c r="L506" s="161">
        <f t="shared" ref="L506:O506" si="157">SUM(L502:L505)</f>
        <v>0</v>
      </c>
      <c r="M506" s="161">
        <f t="shared" si="157"/>
        <v>0</v>
      </c>
      <c r="N506" s="161">
        <f t="shared" si="157"/>
        <v>1000</v>
      </c>
      <c r="O506" s="350">
        <f t="shared" si="157"/>
        <v>49000</v>
      </c>
      <c r="P506" s="161">
        <f>SUM(P502:P505)</f>
        <v>0</v>
      </c>
      <c r="Q506" s="161"/>
      <c r="R506" s="161"/>
      <c r="S506" s="161"/>
      <c r="T506" s="161"/>
      <c r="U506" s="161"/>
      <c r="V506" s="161"/>
      <c r="W506" s="161"/>
      <c r="X506" s="366"/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4.25" hidden="1" customHeight="1">
      <c r="A507" s="386">
        <v>29</v>
      </c>
      <c r="B507" s="364"/>
      <c r="C507" s="456">
        <v>2021</v>
      </c>
      <c r="D507" s="450">
        <v>2023</v>
      </c>
      <c r="E507" s="362" t="s">
        <v>27</v>
      </c>
      <c r="F507" s="382">
        <v>0</v>
      </c>
      <c r="G507" s="354">
        <v>60016</v>
      </c>
      <c r="H507" s="200"/>
      <c r="I507" s="183" t="s">
        <v>28</v>
      </c>
      <c r="J507" s="161"/>
      <c r="K507" s="161"/>
      <c r="L507" s="156"/>
      <c r="M507" s="210">
        <v>0</v>
      </c>
      <c r="N507" s="156"/>
      <c r="O507" s="156"/>
      <c r="P507" s="156"/>
      <c r="Q507" s="187"/>
      <c r="R507" s="187"/>
      <c r="S507" s="187"/>
      <c r="T507" s="187"/>
      <c r="U507" s="187"/>
      <c r="V507" s="187"/>
      <c r="W507" s="187"/>
      <c r="X507" s="366">
        <f t="shared" ref="X507" si="158">SUM(L511:W511)</f>
        <v>0</v>
      </c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4.25" hidden="1" customHeight="1">
      <c r="A508" s="387"/>
      <c r="B508" s="364"/>
      <c r="C508" s="457"/>
      <c r="D508" s="451"/>
      <c r="E508" s="362"/>
      <c r="F508" s="382"/>
      <c r="G508" s="354"/>
      <c r="H508" s="200"/>
      <c r="I508" s="166" t="s">
        <v>31</v>
      </c>
      <c r="J508" s="161"/>
      <c r="K508" s="161"/>
      <c r="L508" s="187"/>
      <c r="M508" s="98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366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4.25" hidden="1" customHeight="1">
      <c r="A509" s="387"/>
      <c r="B509" s="364"/>
      <c r="C509" s="457"/>
      <c r="D509" s="451"/>
      <c r="E509" s="362"/>
      <c r="F509" s="382"/>
      <c r="G509" s="354"/>
      <c r="H509" s="200"/>
      <c r="I509" s="166" t="s">
        <v>30</v>
      </c>
      <c r="J509" s="161"/>
      <c r="K509" s="161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366"/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2.75" hidden="1" customHeight="1">
      <c r="A510" s="387"/>
      <c r="B510" s="364"/>
      <c r="C510" s="457"/>
      <c r="D510" s="451"/>
      <c r="E510" s="362"/>
      <c r="F510" s="382"/>
      <c r="G510" s="354"/>
      <c r="H510" s="90">
        <v>6050</v>
      </c>
      <c r="I510" s="166" t="s">
        <v>55</v>
      </c>
      <c r="J510" s="161"/>
      <c r="K510" s="161"/>
      <c r="L510" s="156"/>
      <c r="M510" s="187">
        <v>0</v>
      </c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366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3.5" hidden="1" customHeight="1">
      <c r="A511" s="388"/>
      <c r="B511" s="365"/>
      <c r="C511" s="458"/>
      <c r="D511" s="452"/>
      <c r="E511" s="362"/>
      <c r="F511" s="382"/>
      <c r="G511" s="354"/>
      <c r="H511" s="200"/>
      <c r="I511" s="160" t="s">
        <v>26</v>
      </c>
      <c r="J511" s="161"/>
      <c r="K511" s="161"/>
      <c r="L511" s="161">
        <f t="shared" ref="L511:P511" si="159">SUM(L507:L510)</f>
        <v>0</v>
      </c>
      <c r="M511" s="161">
        <f t="shared" si="159"/>
        <v>0</v>
      </c>
      <c r="N511" s="161">
        <f t="shared" si="159"/>
        <v>0</v>
      </c>
      <c r="O511" s="161">
        <f t="shared" si="159"/>
        <v>0</v>
      </c>
      <c r="P511" s="161">
        <f t="shared" si="159"/>
        <v>0</v>
      </c>
      <c r="Q511" s="161"/>
      <c r="R511" s="161"/>
      <c r="S511" s="161"/>
      <c r="T511" s="161"/>
      <c r="U511" s="161"/>
      <c r="V511" s="161"/>
      <c r="W511" s="161"/>
      <c r="X511" s="366"/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hidden="1" customHeight="1">
      <c r="A512" s="358">
        <v>41</v>
      </c>
      <c r="B512" s="407" t="s">
        <v>191</v>
      </c>
      <c r="C512" s="357">
        <v>2024</v>
      </c>
      <c r="D512" s="357">
        <v>2032</v>
      </c>
      <c r="E512" s="362" t="s">
        <v>260</v>
      </c>
      <c r="F512" s="385">
        <f>X512+5000-5000</f>
        <v>0</v>
      </c>
      <c r="G512" s="356">
        <v>60016</v>
      </c>
      <c r="H512" s="90">
        <v>6050</v>
      </c>
      <c r="I512" s="58" t="s">
        <v>28</v>
      </c>
      <c r="J512" s="84">
        <v>20000</v>
      </c>
      <c r="K512" s="62"/>
      <c r="L512" s="84"/>
      <c r="M512" s="84"/>
      <c r="N512" s="84">
        <v>0</v>
      </c>
      <c r="O512" s="62"/>
      <c r="P512" s="62"/>
      <c r="Q512" s="84"/>
      <c r="R512" s="84"/>
      <c r="S512" s="84">
        <v>0</v>
      </c>
      <c r="T512" s="84">
        <v>0</v>
      </c>
      <c r="U512" s="84">
        <v>0</v>
      </c>
      <c r="V512" s="62"/>
      <c r="W512" s="62"/>
      <c r="X512" s="371">
        <f>SUM(L516:W516)</f>
        <v>0</v>
      </c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hidden="1" customHeight="1">
      <c r="A513" s="359"/>
      <c r="B513" s="408"/>
      <c r="C513" s="357"/>
      <c r="D513" s="357"/>
      <c r="E513" s="362"/>
      <c r="F513" s="385"/>
      <c r="G513" s="356"/>
      <c r="H513" s="90"/>
      <c r="I513" s="61" t="s">
        <v>31</v>
      </c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371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2.75" hidden="1" customHeight="1">
      <c r="A514" s="359"/>
      <c r="B514" s="408"/>
      <c r="C514" s="357"/>
      <c r="D514" s="357"/>
      <c r="E514" s="362"/>
      <c r="F514" s="385"/>
      <c r="G514" s="356"/>
      <c r="H514" s="90"/>
      <c r="I514" s="61" t="s">
        <v>30</v>
      </c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371"/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2.75" hidden="1" customHeight="1">
      <c r="A515" s="359"/>
      <c r="B515" s="408"/>
      <c r="C515" s="357"/>
      <c r="D515" s="357"/>
      <c r="E515" s="362"/>
      <c r="F515" s="385"/>
      <c r="G515" s="356"/>
      <c r="H515" s="90"/>
      <c r="I515" s="61" t="s">
        <v>70</v>
      </c>
      <c r="J515" s="62"/>
      <c r="K515" s="62">
        <v>14000</v>
      </c>
      <c r="L515" s="84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371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2.75" hidden="1" customHeight="1">
      <c r="A516" s="360"/>
      <c r="B516" s="409"/>
      <c r="C516" s="357"/>
      <c r="D516" s="357"/>
      <c r="E516" s="362"/>
      <c r="F516" s="385"/>
      <c r="G516" s="356"/>
      <c r="H516" s="90"/>
      <c r="I516" s="64" t="s">
        <v>26</v>
      </c>
      <c r="J516" s="65">
        <f>SUM(J512:J515)</f>
        <v>20000</v>
      </c>
      <c r="K516" s="65">
        <f t="shared" ref="K516:W516" si="160">SUM(K512:K515)</f>
        <v>14000</v>
      </c>
      <c r="L516" s="65">
        <f t="shared" si="160"/>
        <v>0</v>
      </c>
      <c r="M516" s="65">
        <f t="shared" si="160"/>
        <v>0</v>
      </c>
      <c r="N516" s="65">
        <f t="shared" si="160"/>
        <v>0</v>
      </c>
      <c r="O516" s="65">
        <f t="shared" si="160"/>
        <v>0</v>
      </c>
      <c r="P516" s="65">
        <f t="shared" si="160"/>
        <v>0</v>
      </c>
      <c r="Q516" s="65">
        <f t="shared" si="160"/>
        <v>0</v>
      </c>
      <c r="R516" s="65">
        <f t="shared" si="160"/>
        <v>0</v>
      </c>
      <c r="S516" s="65">
        <f t="shared" si="160"/>
        <v>0</v>
      </c>
      <c r="T516" s="65">
        <f t="shared" si="160"/>
        <v>0</v>
      </c>
      <c r="U516" s="65">
        <f t="shared" si="160"/>
        <v>0</v>
      </c>
      <c r="V516" s="65">
        <f t="shared" si="160"/>
        <v>0</v>
      </c>
      <c r="W516" s="65">
        <f t="shared" si="160"/>
        <v>0</v>
      </c>
      <c r="X516" s="371"/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358">
        <v>40</v>
      </c>
      <c r="B517" s="410" t="s">
        <v>168</v>
      </c>
      <c r="C517" s="357">
        <v>2021</v>
      </c>
      <c r="D517" s="357">
        <v>2032</v>
      </c>
      <c r="E517" s="362" t="s">
        <v>260</v>
      </c>
      <c r="F517" s="385">
        <f>71955+X517</f>
        <v>1421955</v>
      </c>
      <c r="G517" s="356">
        <v>60016</v>
      </c>
      <c r="H517" s="90">
        <v>6050</v>
      </c>
      <c r="I517" s="58" t="s">
        <v>28</v>
      </c>
      <c r="J517" s="84">
        <v>20000</v>
      </c>
      <c r="K517" s="62"/>
      <c r="L517" s="84"/>
      <c r="M517" s="84"/>
      <c r="N517" s="62"/>
      <c r="O517" s="62"/>
      <c r="P517" s="62"/>
      <c r="Q517" s="84"/>
      <c r="R517" s="84"/>
      <c r="S517" s="84">
        <v>350000</v>
      </c>
      <c r="T517" s="84">
        <v>500000</v>
      </c>
      <c r="U517" s="84">
        <v>500000</v>
      </c>
      <c r="V517" s="84"/>
      <c r="W517" s="84"/>
      <c r="X517" s="371">
        <f>SUM(L521:W521)</f>
        <v>1350000</v>
      </c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13.5" customHeight="1">
      <c r="A518" s="359"/>
      <c r="B518" s="411"/>
      <c r="C518" s="357"/>
      <c r="D518" s="357"/>
      <c r="E518" s="362"/>
      <c r="F518" s="385"/>
      <c r="G518" s="356"/>
      <c r="H518" s="90"/>
      <c r="I518" s="61" t="s">
        <v>31</v>
      </c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371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13.5" customHeight="1">
      <c r="A519" s="359"/>
      <c r="B519" s="411"/>
      <c r="C519" s="357"/>
      <c r="D519" s="357"/>
      <c r="E519" s="362"/>
      <c r="F519" s="385"/>
      <c r="G519" s="356"/>
      <c r="H519" s="90"/>
      <c r="I519" s="61" t="s">
        <v>30</v>
      </c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71"/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13.5" customHeight="1">
      <c r="A520" s="359"/>
      <c r="B520" s="411"/>
      <c r="C520" s="357"/>
      <c r="D520" s="357"/>
      <c r="E520" s="362"/>
      <c r="F520" s="385"/>
      <c r="G520" s="356"/>
      <c r="H520" s="90"/>
      <c r="I520" s="61" t="s">
        <v>70</v>
      </c>
      <c r="J520" s="62"/>
      <c r="K520" s="62">
        <v>14000</v>
      </c>
      <c r="L520" s="84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371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9" customHeight="1">
      <c r="A521" s="360"/>
      <c r="B521" s="412"/>
      <c r="C521" s="357"/>
      <c r="D521" s="357"/>
      <c r="E521" s="362"/>
      <c r="F521" s="385"/>
      <c r="G521" s="356"/>
      <c r="H521" s="90"/>
      <c r="I521" s="64" t="s">
        <v>26</v>
      </c>
      <c r="J521" s="65">
        <f>SUM(J517:J520)</f>
        <v>20000</v>
      </c>
      <c r="K521" s="65">
        <f t="shared" ref="K521:W521" si="161">SUM(K517:K520)</f>
        <v>14000</v>
      </c>
      <c r="L521" s="65">
        <f t="shared" si="161"/>
        <v>0</v>
      </c>
      <c r="M521" s="65">
        <f t="shared" si="161"/>
        <v>0</v>
      </c>
      <c r="N521" s="65">
        <f t="shared" si="161"/>
        <v>0</v>
      </c>
      <c r="O521" s="65">
        <f t="shared" si="161"/>
        <v>0</v>
      </c>
      <c r="P521" s="65">
        <f t="shared" si="161"/>
        <v>0</v>
      </c>
      <c r="Q521" s="65">
        <f t="shared" si="161"/>
        <v>0</v>
      </c>
      <c r="R521" s="65">
        <f t="shared" si="161"/>
        <v>0</v>
      </c>
      <c r="S521" s="65">
        <f t="shared" si="161"/>
        <v>350000</v>
      </c>
      <c r="T521" s="65">
        <f t="shared" si="161"/>
        <v>500000</v>
      </c>
      <c r="U521" s="65">
        <f t="shared" si="161"/>
        <v>500000</v>
      </c>
      <c r="V521" s="65">
        <f t="shared" si="161"/>
        <v>0</v>
      </c>
      <c r="W521" s="65">
        <f t="shared" si="161"/>
        <v>0</v>
      </c>
      <c r="X521" s="371"/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9.75" hidden="1" customHeight="1">
      <c r="A522" s="402">
        <v>31</v>
      </c>
      <c r="B522" s="376" t="s">
        <v>157</v>
      </c>
      <c r="C522" s="357">
        <v>2019</v>
      </c>
      <c r="D522" s="357">
        <v>2023</v>
      </c>
      <c r="E522" s="362" t="s">
        <v>260</v>
      </c>
      <c r="F522" s="385">
        <f>X522</f>
        <v>0</v>
      </c>
      <c r="G522" s="356">
        <v>60016</v>
      </c>
      <c r="H522" s="90">
        <v>6050</v>
      </c>
      <c r="I522" s="58" t="s">
        <v>28</v>
      </c>
      <c r="J522" s="84">
        <v>20000</v>
      </c>
      <c r="K522" s="62"/>
      <c r="L522" s="84"/>
      <c r="M522" s="84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71">
        <f>SUM(L526:W526)</f>
        <v>0</v>
      </c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03"/>
      <c r="B523" s="376"/>
      <c r="C523" s="357"/>
      <c r="D523" s="357"/>
      <c r="E523" s="362"/>
      <c r="F523" s="385"/>
      <c r="G523" s="356"/>
      <c r="H523" s="90"/>
      <c r="I523" s="61" t="s">
        <v>31</v>
      </c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371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403"/>
      <c r="B524" s="376"/>
      <c r="C524" s="357"/>
      <c r="D524" s="357"/>
      <c r="E524" s="362"/>
      <c r="F524" s="385"/>
      <c r="G524" s="356"/>
      <c r="H524" s="90"/>
      <c r="I524" s="61" t="s">
        <v>30</v>
      </c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371"/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403"/>
      <c r="B525" s="376"/>
      <c r="C525" s="357"/>
      <c r="D525" s="357"/>
      <c r="E525" s="362"/>
      <c r="F525" s="385"/>
      <c r="G525" s="356"/>
      <c r="H525" s="90"/>
      <c r="I525" s="61" t="s">
        <v>70</v>
      </c>
      <c r="J525" s="62"/>
      <c r="K525" s="62">
        <v>14000</v>
      </c>
      <c r="L525" s="84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371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404"/>
      <c r="B526" s="376"/>
      <c r="C526" s="357"/>
      <c r="D526" s="357"/>
      <c r="E526" s="362"/>
      <c r="F526" s="385"/>
      <c r="G526" s="356"/>
      <c r="H526" s="90"/>
      <c r="I526" s="64" t="s">
        <v>26</v>
      </c>
      <c r="J526" s="65">
        <f>SUM(J522:J525)</f>
        <v>20000</v>
      </c>
      <c r="K526" s="65">
        <f t="shared" ref="K526:P526" si="162">SUM(K522:K525)</f>
        <v>14000</v>
      </c>
      <c r="L526" s="65">
        <f t="shared" si="162"/>
        <v>0</v>
      </c>
      <c r="M526" s="65">
        <f t="shared" si="162"/>
        <v>0</v>
      </c>
      <c r="N526" s="65">
        <f t="shared" si="162"/>
        <v>0</v>
      </c>
      <c r="O526" s="65">
        <f t="shared" si="162"/>
        <v>0</v>
      </c>
      <c r="P526" s="65">
        <f t="shared" si="162"/>
        <v>0</v>
      </c>
      <c r="Q526" s="65"/>
      <c r="R526" s="65"/>
      <c r="S526" s="65"/>
      <c r="T526" s="65"/>
      <c r="U526" s="65"/>
      <c r="V526" s="65"/>
      <c r="W526" s="65"/>
      <c r="X526" s="371"/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361">
        <v>52</v>
      </c>
      <c r="B527" s="368" t="s">
        <v>151</v>
      </c>
      <c r="C527" s="357">
        <v>2020</v>
      </c>
      <c r="D527" s="357">
        <v>2023</v>
      </c>
      <c r="E527" s="362" t="s">
        <v>260</v>
      </c>
      <c r="F527" s="385">
        <f>X527</f>
        <v>0</v>
      </c>
      <c r="G527" s="356">
        <v>60095</v>
      </c>
      <c r="H527" s="90">
        <v>6050</v>
      </c>
      <c r="I527" s="58" t="s">
        <v>28</v>
      </c>
      <c r="J527" s="65"/>
      <c r="K527" s="65"/>
      <c r="L527" s="84">
        <v>0</v>
      </c>
      <c r="M527" s="84"/>
      <c r="N527" s="84"/>
      <c r="O527" s="84"/>
      <c r="P527" s="62"/>
      <c r="Q527" s="62"/>
      <c r="R527" s="62"/>
      <c r="S527" s="62"/>
      <c r="T527" s="62"/>
      <c r="U527" s="62"/>
      <c r="V527" s="62"/>
      <c r="W527" s="62"/>
      <c r="X527" s="371">
        <f t="shared" ref="X527" si="163">SUM(L531:W531)</f>
        <v>0</v>
      </c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4.25" hidden="1" customHeight="1">
      <c r="A528" s="361"/>
      <c r="B528" s="369"/>
      <c r="C528" s="357"/>
      <c r="D528" s="357"/>
      <c r="E528" s="362"/>
      <c r="F528" s="385"/>
      <c r="G528" s="356"/>
      <c r="H528" s="90"/>
      <c r="I528" s="61" t="s">
        <v>31</v>
      </c>
      <c r="J528" s="65"/>
      <c r="K528" s="65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371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361"/>
      <c r="B529" s="369"/>
      <c r="C529" s="357"/>
      <c r="D529" s="357"/>
      <c r="E529" s="362"/>
      <c r="F529" s="385"/>
      <c r="G529" s="356"/>
      <c r="H529" s="90"/>
      <c r="I529" s="61" t="s">
        <v>30</v>
      </c>
      <c r="J529" s="65"/>
      <c r="K529" s="65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371"/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4.25" hidden="1" customHeight="1">
      <c r="A530" s="361"/>
      <c r="B530" s="369"/>
      <c r="C530" s="357"/>
      <c r="D530" s="357"/>
      <c r="E530" s="362"/>
      <c r="F530" s="385"/>
      <c r="G530" s="356"/>
      <c r="I530" s="61" t="s">
        <v>70</v>
      </c>
      <c r="J530" s="65"/>
      <c r="K530" s="65"/>
      <c r="L530" s="84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371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5" hidden="1" customHeight="1">
      <c r="A531" s="361"/>
      <c r="B531" s="369"/>
      <c r="C531" s="357"/>
      <c r="D531" s="357"/>
      <c r="E531" s="362"/>
      <c r="F531" s="385"/>
      <c r="G531" s="356"/>
      <c r="H531" s="90"/>
      <c r="I531" s="64" t="s">
        <v>26</v>
      </c>
      <c r="J531" s="65"/>
      <c r="K531" s="65"/>
      <c r="L531" s="65">
        <f t="shared" ref="L531:P531" si="164">SUM(L527:L530)</f>
        <v>0</v>
      </c>
      <c r="M531" s="65">
        <f t="shared" si="164"/>
        <v>0</v>
      </c>
      <c r="N531" s="65">
        <f t="shared" si="164"/>
        <v>0</v>
      </c>
      <c r="O531" s="65">
        <f t="shared" si="164"/>
        <v>0</v>
      </c>
      <c r="P531" s="65">
        <f t="shared" si="164"/>
        <v>0</v>
      </c>
      <c r="Q531" s="65"/>
      <c r="R531" s="65"/>
      <c r="S531" s="65"/>
      <c r="T531" s="65"/>
      <c r="U531" s="65"/>
      <c r="V531" s="65"/>
      <c r="W531" s="65"/>
      <c r="X531" s="371"/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361">
        <v>53</v>
      </c>
      <c r="B532" s="368" t="s">
        <v>138</v>
      </c>
      <c r="C532" s="370">
        <v>2020</v>
      </c>
      <c r="D532" s="370">
        <v>2022</v>
      </c>
      <c r="E532" s="362" t="s">
        <v>260</v>
      </c>
      <c r="F532" s="382">
        <f>X532</f>
        <v>0</v>
      </c>
      <c r="G532" s="354">
        <v>60095</v>
      </c>
      <c r="H532" s="200"/>
      <c r="I532" s="183" t="s">
        <v>28</v>
      </c>
      <c r="J532" s="161"/>
      <c r="K532" s="161"/>
      <c r="L532" s="156">
        <v>0</v>
      </c>
      <c r="M532" s="156"/>
      <c r="N532" s="156"/>
      <c r="O532" s="156"/>
      <c r="P532" s="187"/>
      <c r="Q532" s="187"/>
      <c r="R532" s="187"/>
      <c r="S532" s="187"/>
      <c r="T532" s="187"/>
      <c r="U532" s="187"/>
      <c r="V532" s="187"/>
      <c r="W532" s="187"/>
      <c r="X532" s="366">
        <f t="shared" ref="X532" si="165">SUM(L536:W536)</f>
        <v>0</v>
      </c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361"/>
      <c r="B533" s="369"/>
      <c r="C533" s="370"/>
      <c r="D533" s="370"/>
      <c r="E533" s="362"/>
      <c r="F533" s="382"/>
      <c r="G533" s="354"/>
      <c r="H533" s="200"/>
      <c r="I533" s="166" t="s">
        <v>31</v>
      </c>
      <c r="J533" s="161"/>
      <c r="K533" s="161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366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4.25" hidden="1" customHeight="1">
      <c r="A534" s="361"/>
      <c r="B534" s="369"/>
      <c r="C534" s="370"/>
      <c r="D534" s="370"/>
      <c r="E534" s="362"/>
      <c r="F534" s="382"/>
      <c r="G534" s="354"/>
      <c r="H534" s="200"/>
      <c r="I534" s="166" t="s">
        <v>30</v>
      </c>
      <c r="J534" s="161"/>
      <c r="K534" s="161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366"/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14.25" hidden="1" customHeight="1">
      <c r="A535" s="361"/>
      <c r="B535" s="369"/>
      <c r="C535" s="370"/>
      <c r="D535" s="370"/>
      <c r="E535" s="362"/>
      <c r="F535" s="382"/>
      <c r="G535" s="354"/>
      <c r="H535" s="200">
        <v>6050</v>
      </c>
      <c r="I535" s="166" t="s">
        <v>70</v>
      </c>
      <c r="J535" s="161"/>
      <c r="K535" s="161"/>
      <c r="L535" s="156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366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14.25" hidden="1" customHeight="1">
      <c r="A536" s="361"/>
      <c r="B536" s="369"/>
      <c r="C536" s="370"/>
      <c r="D536" s="370"/>
      <c r="E536" s="362"/>
      <c r="F536" s="382"/>
      <c r="G536" s="354"/>
      <c r="H536" s="200"/>
      <c r="I536" s="160" t="s">
        <v>26</v>
      </c>
      <c r="J536" s="161"/>
      <c r="K536" s="161"/>
      <c r="L536" s="161">
        <f t="shared" ref="L536:P536" si="166">SUM(L532:L535)</f>
        <v>0</v>
      </c>
      <c r="M536" s="161">
        <f t="shared" si="166"/>
        <v>0</v>
      </c>
      <c r="N536" s="161">
        <f t="shared" si="166"/>
        <v>0</v>
      </c>
      <c r="O536" s="161">
        <f t="shared" si="166"/>
        <v>0</v>
      </c>
      <c r="P536" s="161">
        <f t="shared" si="166"/>
        <v>0</v>
      </c>
      <c r="Q536" s="161"/>
      <c r="R536" s="161"/>
      <c r="S536" s="161"/>
      <c r="T536" s="161"/>
      <c r="U536" s="161"/>
      <c r="V536" s="161"/>
      <c r="W536" s="161"/>
      <c r="X536" s="366"/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12" hidden="1" customHeight="1">
      <c r="A537" s="361">
        <v>54</v>
      </c>
      <c r="B537" s="561" t="s">
        <v>159</v>
      </c>
      <c r="C537" s="370">
        <v>2021</v>
      </c>
      <c r="D537" s="370">
        <v>2022</v>
      </c>
      <c r="E537" s="362" t="s">
        <v>260</v>
      </c>
      <c r="F537" s="382">
        <v>0</v>
      </c>
      <c r="G537" s="354">
        <v>60095</v>
      </c>
      <c r="H537" s="200">
        <v>6050</v>
      </c>
      <c r="I537" s="183" t="s">
        <v>28</v>
      </c>
      <c r="J537" s="161"/>
      <c r="K537" s="161"/>
      <c r="L537" s="156"/>
      <c r="M537" s="156"/>
      <c r="N537" s="156"/>
      <c r="O537" s="156"/>
      <c r="P537" s="187"/>
      <c r="Q537" s="187"/>
      <c r="R537" s="187"/>
      <c r="S537" s="187"/>
      <c r="T537" s="187"/>
      <c r="U537" s="187"/>
      <c r="V537" s="187"/>
      <c r="W537" s="187"/>
      <c r="X537" s="366">
        <f t="shared" ref="X537" si="167">SUM(L541:W541)</f>
        <v>0</v>
      </c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9.75" hidden="1" customHeight="1">
      <c r="A538" s="361"/>
      <c r="B538" s="562"/>
      <c r="C538" s="370"/>
      <c r="D538" s="370"/>
      <c r="E538" s="362"/>
      <c r="F538" s="382"/>
      <c r="G538" s="354"/>
      <c r="H538" s="200">
        <v>6050</v>
      </c>
      <c r="I538" s="166" t="s">
        <v>31</v>
      </c>
      <c r="J538" s="161"/>
      <c r="K538" s="161"/>
      <c r="L538" s="156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366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8.25" hidden="1" customHeight="1">
      <c r="A539" s="361"/>
      <c r="B539" s="562"/>
      <c r="C539" s="370"/>
      <c r="D539" s="370"/>
      <c r="E539" s="362"/>
      <c r="F539" s="382"/>
      <c r="G539" s="354"/>
      <c r="H539" s="200"/>
      <c r="I539" s="166" t="s">
        <v>30</v>
      </c>
      <c r="J539" s="161"/>
      <c r="K539" s="161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366"/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12" hidden="1" customHeight="1">
      <c r="A540" s="361"/>
      <c r="B540" s="562"/>
      <c r="C540" s="370"/>
      <c r="D540" s="370"/>
      <c r="E540" s="362"/>
      <c r="F540" s="382"/>
      <c r="G540" s="354"/>
      <c r="H540" s="200"/>
      <c r="I540" s="166" t="s">
        <v>70</v>
      </c>
      <c r="J540" s="161"/>
      <c r="K540" s="161"/>
      <c r="L540" s="156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366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15.75" hidden="1" customHeight="1">
      <c r="A541" s="361"/>
      <c r="B541" s="562"/>
      <c r="C541" s="370"/>
      <c r="D541" s="370"/>
      <c r="E541" s="362"/>
      <c r="F541" s="382"/>
      <c r="G541" s="354"/>
      <c r="H541" s="200"/>
      <c r="I541" s="160" t="s">
        <v>26</v>
      </c>
      <c r="J541" s="161"/>
      <c r="K541" s="161"/>
      <c r="L541" s="161">
        <f t="shared" ref="L541:P541" si="168">SUM(L537:L540)</f>
        <v>0</v>
      </c>
      <c r="M541" s="161">
        <f t="shared" si="168"/>
        <v>0</v>
      </c>
      <c r="N541" s="161">
        <f t="shared" si="168"/>
        <v>0</v>
      </c>
      <c r="O541" s="161">
        <f t="shared" si="168"/>
        <v>0</v>
      </c>
      <c r="P541" s="161">
        <f t="shared" si="168"/>
        <v>0</v>
      </c>
      <c r="Q541" s="161"/>
      <c r="R541" s="161"/>
      <c r="S541" s="161"/>
      <c r="T541" s="161"/>
      <c r="U541" s="161"/>
      <c r="V541" s="161"/>
      <c r="W541" s="161"/>
      <c r="X541" s="366"/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20.25" hidden="1" customHeight="1">
      <c r="A542" s="361">
        <v>55</v>
      </c>
      <c r="B542" s="368" t="s">
        <v>158</v>
      </c>
      <c r="C542" s="370">
        <v>2021</v>
      </c>
      <c r="D542" s="370">
        <v>2022</v>
      </c>
      <c r="E542" s="362" t="s">
        <v>260</v>
      </c>
      <c r="F542" s="382">
        <v>0</v>
      </c>
      <c r="G542" s="354">
        <v>60095</v>
      </c>
      <c r="H542" s="200">
        <v>6050</v>
      </c>
      <c r="I542" s="183" t="s">
        <v>28</v>
      </c>
      <c r="J542" s="161"/>
      <c r="K542" s="161"/>
      <c r="L542" s="156"/>
      <c r="M542" s="156"/>
      <c r="N542" s="156"/>
      <c r="O542" s="156"/>
      <c r="P542" s="187"/>
      <c r="Q542" s="187"/>
      <c r="R542" s="187"/>
      <c r="S542" s="187"/>
      <c r="T542" s="187"/>
      <c r="U542" s="187"/>
      <c r="V542" s="187"/>
      <c r="W542" s="187"/>
      <c r="X542" s="366">
        <f t="shared" ref="X542" si="169">SUM(L546:W546)</f>
        <v>0</v>
      </c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20.25" hidden="1" customHeight="1">
      <c r="A543" s="361"/>
      <c r="B543" s="369"/>
      <c r="C543" s="370"/>
      <c r="D543" s="370"/>
      <c r="E543" s="362"/>
      <c r="F543" s="382"/>
      <c r="G543" s="354"/>
      <c r="H543" s="200">
        <v>6050</v>
      </c>
      <c r="I543" s="166" t="s">
        <v>31</v>
      </c>
      <c r="J543" s="161"/>
      <c r="K543" s="161"/>
      <c r="L543" s="156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366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20.25" hidden="1" customHeight="1">
      <c r="A544" s="361"/>
      <c r="B544" s="369"/>
      <c r="C544" s="370"/>
      <c r="D544" s="370"/>
      <c r="E544" s="362"/>
      <c r="F544" s="382"/>
      <c r="G544" s="354"/>
      <c r="H544" s="200"/>
      <c r="I544" s="166" t="s">
        <v>30</v>
      </c>
      <c r="J544" s="161"/>
      <c r="K544" s="161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366"/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2" hidden="1" customHeight="1">
      <c r="A545" s="361"/>
      <c r="B545" s="369"/>
      <c r="C545" s="370"/>
      <c r="D545" s="370"/>
      <c r="E545" s="362"/>
      <c r="F545" s="382"/>
      <c r="G545" s="354"/>
      <c r="H545" s="200"/>
      <c r="I545" s="166" t="s">
        <v>70</v>
      </c>
      <c r="J545" s="161"/>
      <c r="K545" s="161"/>
      <c r="L545" s="156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366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5" hidden="1" customHeight="1">
      <c r="A546" s="361"/>
      <c r="B546" s="369"/>
      <c r="C546" s="370"/>
      <c r="D546" s="370"/>
      <c r="E546" s="362"/>
      <c r="F546" s="382"/>
      <c r="G546" s="354"/>
      <c r="H546" s="200"/>
      <c r="I546" s="160" t="s">
        <v>26</v>
      </c>
      <c r="J546" s="161"/>
      <c r="K546" s="161"/>
      <c r="L546" s="161">
        <f t="shared" ref="L546:P546" si="170">SUM(L542:L545)</f>
        <v>0</v>
      </c>
      <c r="M546" s="161">
        <f t="shared" si="170"/>
        <v>0</v>
      </c>
      <c r="N546" s="161">
        <f t="shared" si="170"/>
        <v>0</v>
      </c>
      <c r="O546" s="161">
        <f t="shared" si="170"/>
        <v>0</v>
      </c>
      <c r="P546" s="161">
        <f t="shared" si="170"/>
        <v>0</v>
      </c>
      <c r="Q546" s="161"/>
      <c r="R546" s="161"/>
      <c r="S546" s="161"/>
      <c r="T546" s="161"/>
      <c r="U546" s="161"/>
      <c r="V546" s="161"/>
      <c r="W546" s="161"/>
      <c r="X546" s="366"/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361">
        <v>56</v>
      </c>
      <c r="B547" s="368" t="s">
        <v>160</v>
      </c>
      <c r="C547" s="370">
        <v>2021</v>
      </c>
      <c r="D547" s="370">
        <v>2022</v>
      </c>
      <c r="E547" s="362" t="s">
        <v>260</v>
      </c>
      <c r="F547" s="382">
        <v>0</v>
      </c>
      <c r="G547" s="354">
        <v>60095</v>
      </c>
      <c r="H547" s="200">
        <v>6050</v>
      </c>
      <c r="I547" s="183" t="s">
        <v>28</v>
      </c>
      <c r="J547" s="161"/>
      <c r="K547" s="161"/>
      <c r="L547" s="156"/>
      <c r="M547" s="156"/>
      <c r="N547" s="156"/>
      <c r="O547" s="156"/>
      <c r="P547" s="187"/>
      <c r="Q547" s="187"/>
      <c r="R547" s="187"/>
      <c r="S547" s="187"/>
      <c r="T547" s="187"/>
      <c r="U547" s="187"/>
      <c r="V547" s="187"/>
      <c r="W547" s="187"/>
      <c r="X547" s="366">
        <f t="shared" ref="X547" si="171">SUM(L551:W551)</f>
        <v>0</v>
      </c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8" hidden="1" customHeight="1">
      <c r="A548" s="361"/>
      <c r="B548" s="369"/>
      <c r="C548" s="370"/>
      <c r="D548" s="370"/>
      <c r="E548" s="362"/>
      <c r="F548" s="382"/>
      <c r="G548" s="354"/>
      <c r="H548" s="200">
        <v>6050</v>
      </c>
      <c r="I548" s="166" t="s">
        <v>31</v>
      </c>
      <c r="J548" s="161"/>
      <c r="K548" s="161"/>
      <c r="L548" s="156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366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361"/>
      <c r="B549" s="369"/>
      <c r="C549" s="370"/>
      <c r="D549" s="370"/>
      <c r="E549" s="362"/>
      <c r="F549" s="382"/>
      <c r="G549" s="354"/>
      <c r="H549" s="200"/>
      <c r="I549" s="166" t="s">
        <v>30</v>
      </c>
      <c r="J549" s="161"/>
      <c r="K549" s="161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366"/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8" hidden="1" customHeight="1">
      <c r="A550" s="361"/>
      <c r="B550" s="369"/>
      <c r="C550" s="370"/>
      <c r="D550" s="370"/>
      <c r="E550" s="362"/>
      <c r="F550" s="382"/>
      <c r="G550" s="354"/>
      <c r="H550" s="200"/>
      <c r="I550" s="166" t="s">
        <v>70</v>
      </c>
      <c r="J550" s="161"/>
      <c r="K550" s="161"/>
      <c r="L550" s="156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366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5.75" hidden="1" customHeight="1">
      <c r="A551" s="361"/>
      <c r="B551" s="369"/>
      <c r="C551" s="370"/>
      <c r="D551" s="370"/>
      <c r="E551" s="362"/>
      <c r="F551" s="382"/>
      <c r="G551" s="354"/>
      <c r="H551" s="200"/>
      <c r="I551" s="160" t="s">
        <v>26</v>
      </c>
      <c r="J551" s="161"/>
      <c r="K551" s="161"/>
      <c r="L551" s="161">
        <f t="shared" ref="L551:P551" si="172">SUM(L547:L550)</f>
        <v>0</v>
      </c>
      <c r="M551" s="161">
        <f t="shared" si="172"/>
        <v>0</v>
      </c>
      <c r="N551" s="161">
        <f t="shared" si="172"/>
        <v>0</v>
      </c>
      <c r="O551" s="161">
        <f t="shared" si="172"/>
        <v>0</v>
      </c>
      <c r="P551" s="161">
        <f t="shared" si="172"/>
        <v>0</v>
      </c>
      <c r="Q551" s="161"/>
      <c r="R551" s="161"/>
      <c r="S551" s="161"/>
      <c r="T551" s="161"/>
      <c r="U551" s="161"/>
      <c r="V551" s="161"/>
      <c r="W551" s="161"/>
      <c r="X551" s="366"/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361">
        <v>57</v>
      </c>
      <c r="B552" s="368" t="s">
        <v>161</v>
      </c>
      <c r="C552" s="370">
        <v>2021</v>
      </c>
      <c r="D552" s="370">
        <v>2022</v>
      </c>
      <c r="E552" s="362" t="s">
        <v>260</v>
      </c>
      <c r="F552" s="382">
        <v>0</v>
      </c>
      <c r="G552" s="354">
        <v>60095</v>
      </c>
      <c r="H552" s="200">
        <v>6050</v>
      </c>
      <c r="I552" s="183" t="s">
        <v>28</v>
      </c>
      <c r="J552" s="161"/>
      <c r="K552" s="161"/>
      <c r="L552" s="156"/>
      <c r="M552" s="156"/>
      <c r="N552" s="156"/>
      <c r="O552" s="156"/>
      <c r="P552" s="187"/>
      <c r="Q552" s="187"/>
      <c r="R552" s="187"/>
      <c r="S552" s="187"/>
      <c r="T552" s="187"/>
      <c r="U552" s="187"/>
      <c r="V552" s="187"/>
      <c r="W552" s="187"/>
      <c r="X552" s="366">
        <f t="shared" ref="X552" si="173">SUM(L556:W556)</f>
        <v>0</v>
      </c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18" hidden="1" customHeight="1">
      <c r="A553" s="361"/>
      <c r="B553" s="369"/>
      <c r="C553" s="370"/>
      <c r="D553" s="370"/>
      <c r="E553" s="362"/>
      <c r="F553" s="382"/>
      <c r="G553" s="354"/>
      <c r="H553" s="200"/>
      <c r="I553" s="166" t="s">
        <v>31</v>
      </c>
      <c r="J553" s="161"/>
      <c r="K553" s="161"/>
      <c r="L553" s="156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366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8" hidden="1" customHeight="1">
      <c r="A554" s="361"/>
      <c r="B554" s="369"/>
      <c r="C554" s="370"/>
      <c r="D554" s="370"/>
      <c r="E554" s="362"/>
      <c r="F554" s="382"/>
      <c r="G554" s="354"/>
      <c r="H554" s="200"/>
      <c r="I554" s="166" t="s">
        <v>30</v>
      </c>
      <c r="J554" s="161"/>
      <c r="K554" s="161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366"/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18" hidden="1" customHeight="1">
      <c r="A555" s="361"/>
      <c r="B555" s="369"/>
      <c r="C555" s="370"/>
      <c r="D555" s="370"/>
      <c r="E555" s="362"/>
      <c r="F555" s="382"/>
      <c r="G555" s="354"/>
      <c r="H555" s="200"/>
      <c r="I555" s="166" t="s">
        <v>70</v>
      </c>
      <c r="J555" s="161"/>
      <c r="K555" s="161"/>
      <c r="L555" s="156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366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21" hidden="1" customHeight="1">
      <c r="A556" s="361"/>
      <c r="B556" s="369"/>
      <c r="C556" s="370"/>
      <c r="D556" s="370"/>
      <c r="E556" s="362"/>
      <c r="F556" s="382"/>
      <c r="G556" s="354"/>
      <c r="H556" s="200"/>
      <c r="I556" s="160" t="s">
        <v>26</v>
      </c>
      <c r="J556" s="161"/>
      <c r="K556" s="161"/>
      <c r="L556" s="161">
        <f t="shared" ref="L556:P556" si="174">SUM(L552:L555)</f>
        <v>0</v>
      </c>
      <c r="M556" s="161">
        <f t="shared" si="174"/>
        <v>0</v>
      </c>
      <c r="N556" s="161">
        <f t="shared" si="174"/>
        <v>0</v>
      </c>
      <c r="O556" s="161">
        <f t="shared" si="174"/>
        <v>0</v>
      </c>
      <c r="P556" s="161">
        <f t="shared" si="174"/>
        <v>0</v>
      </c>
      <c r="Q556" s="161"/>
      <c r="R556" s="161"/>
      <c r="S556" s="161"/>
      <c r="T556" s="161"/>
      <c r="U556" s="161"/>
      <c r="V556" s="161"/>
      <c r="W556" s="161"/>
      <c r="X556" s="366"/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53">
        <v>41</v>
      </c>
      <c r="B557" s="373" t="s">
        <v>192</v>
      </c>
      <c r="C557" s="579">
        <v>2022</v>
      </c>
      <c r="D557" s="579">
        <v>2024</v>
      </c>
      <c r="E557" s="362" t="s">
        <v>260</v>
      </c>
      <c r="F557" s="555">
        <f>X557</f>
        <v>0</v>
      </c>
      <c r="G557" s="518">
        <v>60016</v>
      </c>
      <c r="H557" s="88">
        <v>6050</v>
      </c>
      <c r="I557" s="211" t="s">
        <v>28</v>
      </c>
      <c r="J557" s="65"/>
      <c r="K557" s="65"/>
      <c r="L557" s="84"/>
      <c r="M557" s="84"/>
      <c r="N557" s="84"/>
      <c r="O557" s="84"/>
      <c r="P557" s="62"/>
      <c r="Q557" s="62"/>
      <c r="R557" s="62"/>
      <c r="S557" s="62"/>
      <c r="T557" s="62"/>
      <c r="U557" s="62"/>
      <c r="V557" s="62"/>
      <c r="W557" s="62"/>
      <c r="X557" s="371">
        <f t="shared" ref="X557" si="175">SUM(L561:W561)</f>
        <v>0</v>
      </c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.75" hidden="1" customHeight="1">
      <c r="A558" s="353"/>
      <c r="B558" s="373"/>
      <c r="C558" s="579"/>
      <c r="D558" s="579"/>
      <c r="E558" s="362"/>
      <c r="F558" s="556"/>
      <c r="G558" s="519"/>
      <c r="H558" s="225"/>
      <c r="I558" s="211" t="s">
        <v>28</v>
      </c>
      <c r="J558" s="65"/>
      <c r="K558" s="65"/>
      <c r="L558" s="84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371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5.75" hidden="1" customHeight="1">
      <c r="A559" s="353"/>
      <c r="B559" s="373"/>
      <c r="C559" s="579"/>
      <c r="D559" s="579"/>
      <c r="E559" s="362"/>
      <c r="F559" s="556"/>
      <c r="G559" s="519"/>
      <c r="H559" s="88"/>
      <c r="I559" s="211" t="s">
        <v>30</v>
      </c>
      <c r="J559" s="65"/>
      <c r="K559" s="65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371"/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5.75" hidden="1" customHeight="1">
      <c r="A560" s="353"/>
      <c r="B560" s="373"/>
      <c r="C560" s="579"/>
      <c r="D560" s="579"/>
      <c r="E560" s="362"/>
      <c r="F560" s="556"/>
      <c r="G560" s="519"/>
      <c r="H560" s="88"/>
      <c r="I560" s="211" t="s">
        <v>32</v>
      </c>
      <c r="J560" s="65"/>
      <c r="K560" s="65"/>
      <c r="L560" s="84">
        <v>0</v>
      </c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371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5" hidden="1" customHeight="1">
      <c r="A561" s="353"/>
      <c r="B561" s="373"/>
      <c r="C561" s="579"/>
      <c r="D561" s="579"/>
      <c r="E561" s="362"/>
      <c r="F561" s="557"/>
      <c r="G561" s="520"/>
      <c r="H561" s="88"/>
      <c r="I561" s="59" t="s">
        <v>26</v>
      </c>
      <c r="J561" s="65"/>
      <c r="K561" s="65"/>
      <c r="L561" s="65">
        <f t="shared" ref="L561:P561" si="176">SUM(L557:L560)</f>
        <v>0</v>
      </c>
      <c r="M561" s="65">
        <f t="shared" si="176"/>
        <v>0</v>
      </c>
      <c r="N561" s="65">
        <f t="shared" si="176"/>
        <v>0</v>
      </c>
      <c r="O561" s="65">
        <f t="shared" si="176"/>
        <v>0</v>
      </c>
      <c r="P561" s="65">
        <f t="shared" si="176"/>
        <v>0</v>
      </c>
      <c r="Q561" s="65"/>
      <c r="R561" s="65"/>
      <c r="S561" s="65"/>
      <c r="T561" s="65"/>
      <c r="U561" s="65"/>
      <c r="V561" s="65"/>
      <c r="W561" s="65"/>
      <c r="X561" s="371"/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02">
        <v>42</v>
      </c>
      <c r="B562" s="373" t="s">
        <v>196</v>
      </c>
      <c r="C562" s="357">
        <v>2023</v>
      </c>
      <c r="D562" s="357">
        <v>2024</v>
      </c>
      <c r="E562" s="362" t="s">
        <v>260</v>
      </c>
      <c r="F562" s="558"/>
      <c r="G562" s="356">
        <v>92120</v>
      </c>
      <c r="H562" s="90">
        <v>6580</v>
      </c>
      <c r="I562" s="58" t="s">
        <v>28</v>
      </c>
      <c r="J562" s="84">
        <v>20000</v>
      </c>
      <c r="K562" s="62"/>
      <c r="L562" s="84"/>
      <c r="M562" s="327"/>
      <c r="N562" s="84"/>
      <c r="O562" s="62"/>
      <c r="P562" s="62"/>
      <c r="Q562" s="62"/>
      <c r="R562" s="62"/>
      <c r="S562" s="62"/>
      <c r="T562" s="62"/>
      <c r="U562" s="62"/>
      <c r="V562" s="62"/>
      <c r="W562" s="62"/>
      <c r="X562" s="434">
        <f>SUM(L566:W566)</f>
        <v>0</v>
      </c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03"/>
      <c r="B563" s="373"/>
      <c r="C563" s="357"/>
      <c r="D563" s="357"/>
      <c r="E563" s="362"/>
      <c r="F563" s="558"/>
      <c r="G563" s="356"/>
      <c r="H563" s="90"/>
      <c r="I563" s="61" t="s">
        <v>197</v>
      </c>
      <c r="J563" s="62"/>
      <c r="K563" s="62"/>
      <c r="L563" s="62"/>
      <c r="M563" s="84"/>
      <c r="N563" s="84"/>
      <c r="O563" s="62"/>
      <c r="P563" s="62"/>
      <c r="Q563" s="62"/>
      <c r="R563" s="62"/>
      <c r="S563" s="62"/>
      <c r="T563" s="62"/>
      <c r="U563" s="62"/>
      <c r="V563" s="62"/>
      <c r="W563" s="62"/>
      <c r="X563" s="434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2.75" hidden="1" customHeight="1">
      <c r="A564" s="403"/>
      <c r="B564" s="373"/>
      <c r="C564" s="357"/>
      <c r="D564" s="357"/>
      <c r="E564" s="362"/>
      <c r="F564" s="558"/>
      <c r="G564" s="356"/>
      <c r="H564" s="90"/>
      <c r="I564" s="61" t="s">
        <v>30</v>
      </c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434"/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2.75" hidden="1" customHeight="1">
      <c r="A565" s="403"/>
      <c r="B565" s="373"/>
      <c r="C565" s="357"/>
      <c r="D565" s="357"/>
      <c r="E565" s="362"/>
      <c r="F565" s="558"/>
      <c r="G565" s="356"/>
      <c r="H565" s="90"/>
      <c r="I565" s="61" t="s">
        <v>70</v>
      </c>
      <c r="J565" s="62"/>
      <c r="K565" s="62">
        <v>14000</v>
      </c>
      <c r="L565" s="84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434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2.75" hidden="1" customHeight="1">
      <c r="A566" s="404"/>
      <c r="B566" s="373"/>
      <c r="C566" s="357"/>
      <c r="D566" s="357"/>
      <c r="E566" s="362"/>
      <c r="F566" s="558"/>
      <c r="G566" s="356"/>
      <c r="H566" s="90"/>
      <c r="I566" s="64" t="s">
        <v>26</v>
      </c>
      <c r="J566" s="65">
        <f>SUM(J562:J565)</f>
        <v>20000</v>
      </c>
      <c r="K566" s="65">
        <f t="shared" ref="K566:P566" si="177">SUM(K562:K565)</f>
        <v>14000</v>
      </c>
      <c r="L566" s="65">
        <f t="shared" si="177"/>
        <v>0</v>
      </c>
      <c r="M566" s="65">
        <f t="shared" si="177"/>
        <v>0</v>
      </c>
      <c r="N566" s="65">
        <f t="shared" si="177"/>
        <v>0</v>
      </c>
      <c r="O566" s="65">
        <f t="shared" si="177"/>
        <v>0</v>
      </c>
      <c r="P566" s="65">
        <f t="shared" si="177"/>
        <v>0</v>
      </c>
      <c r="Q566" s="65"/>
      <c r="R566" s="65"/>
      <c r="S566" s="65"/>
      <c r="T566" s="65"/>
      <c r="U566" s="65"/>
      <c r="V566" s="65"/>
      <c r="W566" s="65"/>
      <c r="X566" s="434"/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02">
        <v>43</v>
      </c>
      <c r="B567" s="373" t="s">
        <v>199</v>
      </c>
      <c r="C567" s="357">
        <v>2023</v>
      </c>
      <c r="D567" s="357">
        <v>2024</v>
      </c>
      <c r="E567" s="362" t="s">
        <v>260</v>
      </c>
      <c r="F567" s="558"/>
      <c r="G567" s="356">
        <v>60016</v>
      </c>
      <c r="H567" s="90">
        <v>6050</v>
      </c>
      <c r="I567" s="58" t="s">
        <v>28</v>
      </c>
      <c r="J567" s="84">
        <v>20000</v>
      </c>
      <c r="K567" s="62"/>
      <c r="L567" s="84"/>
      <c r="M567" s="327"/>
      <c r="N567" s="84"/>
      <c r="O567" s="62"/>
      <c r="P567" s="62"/>
      <c r="Q567" s="62"/>
      <c r="R567" s="62"/>
      <c r="S567" s="62"/>
      <c r="T567" s="62"/>
      <c r="U567" s="62"/>
      <c r="V567" s="62"/>
      <c r="W567" s="62"/>
      <c r="X567" s="434">
        <f>SUM(L571:W571)</f>
        <v>0</v>
      </c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03"/>
      <c r="B568" s="373"/>
      <c r="C568" s="357"/>
      <c r="D568" s="357"/>
      <c r="E568" s="362"/>
      <c r="F568" s="558"/>
      <c r="G568" s="356"/>
      <c r="H568" s="90">
        <v>6050</v>
      </c>
      <c r="I568" s="61" t="s">
        <v>200</v>
      </c>
      <c r="J568" s="62"/>
      <c r="K568" s="62"/>
      <c r="L568" s="62"/>
      <c r="M568" s="84"/>
      <c r="N568" s="84"/>
      <c r="O568" s="62"/>
      <c r="P568" s="62"/>
      <c r="Q568" s="62"/>
      <c r="R568" s="62"/>
      <c r="S568" s="62"/>
      <c r="T568" s="62"/>
      <c r="U568" s="62"/>
      <c r="V568" s="62"/>
      <c r="W568" s="62"/>
      <c r="X568" s="434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5" hidden="1" customHeight="1">
      <c r="A569" s="403"/>
      <c r="B569" s="373"/>
      <c r="C569" s="357"/>
      <c r="D569" s="357"/>
      <c r="E569" s="362"/>
      <c r="F569" s="558"/>
      <c r="G569" s="356"/>
      <c r="H569" s="90"/>
      <c r="I569" s="61" t="s">
        <v>30</v>
      </c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434"/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03"/>
      <c r="B570" s="373"/>
      <c r="C570" s="357"/>
      <c r="D570" s="357"/>
      <c r="E570" s="362"/>
      <c r="F570" s="558"/>
      <c r="G570" s="356"/>
      <c r="H570" s="90"/>
      <c r="I570" s="61" t="s">
        <v>70</v>
      </c>
      <c r="J570" s="62"/>
      <c r="K570" s="62">
        <v>14000</v>
      </c>
      <c r="L570" s="84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434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5" hidden="1" customHeight="1">
      <c r="A571" s="404"/>
      <c r="B571" s="373"/>
      <c r="C571" s="357"/>
      <c r="D571" s="357"/>
      <c r="E571" s="362"/>
      <c r="F571" s="558"/>
      <c r="G571" s="356"/>
      <c r="H571" s="90"/>
      <c r="I571" s="64" t="s">
        <v>26</v>
      </c>
      <c r="J571" s="65">
        <f>SUM(J567:J570)</f>
        <v>20000</v>
      </c>
      <c r="K571" s="65">
        <f t="shared" ref="K571:P571" si="178">SUM(K567:K570)</f>
        <v>14000</v>
      </c>
      <c r="L571" s="65">
        <f t="shared" si="178"/>
        <v>0</v>
      </c>
      <c r="M571" s="65">
        <f t="shared" si="178"/>
        <v>0</v>
      </c>
      <c r="N571" s="65">
        <f t="shared" si="178"/>
        <v>0</v>
      </c>
      <c r="O571" s="65">
        <f t="shared" si="178"/>
        <v>0</v>
      </c>
      <c r="P571" s="65">
        <f t="shared" si="178"/>
        <v>0</v>
      </c>
      <c r="Q571" s="65"/>
      <c r="R571" s="65"/>
      <c r="S571" s="65"/>
      <c r="T571" s="65"/>
      <c r="U571" s="65"/>
      <c r="V571" s="65"/>
      <c r="W571" s="65"/>
      <c r="X571" s="434"/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2.75" hidden="1" customHeight="1">
      <c r="A572" s="402">
        <v>44</v>
      </c>
      <c r="B572" s="373" t="s">
        <v>241</v>
      </c>
      <c r="C572" s="357">
        <v>2023</v>
      </c>
      <c r="D572" s="357">
        <v>2024</v>
      </c>
      <c r="E572" s="362" t="s">
        <v>260</v>
      </c>
      <c r="F572" s="385"/>
      <c r="G572" s="356">
        <v>92120</v>
      </c>
      <c r="H572" s="90">
        <v>6580</v>
      </c>
      <c r="I572" s="58" t="s">
        <v>28</v>
      </c>
      <c r="J572" s="84">
        <v>20000</v>
      </c>
      <c r="K572" s="62"/>
      <c r="L572" s="84"/>
      <c r="M572" s="84"/>
      <c r="N572" s="84"/>
      <c r="O572" s="62"/>
      <c r="P572" s="62"/>
      <c r="Q572" s="62"/>
      <c r="R572" s="62"/>
      <c r="S572" s="62"/>
      <c r="T572" s="62"/>
      <c r="U572" s="62"/>
      <c r="V572" s="62"/>
      <c r="W572" s="62"/>
      <c r="X572" s="371">
        <f>SUM(L576:W576)</f>
        <v>0</v>
      </c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5" hidden="1" customHeight="1">
      <c r="A573" s="403"/>
      <c r="B573" s="373"/>
      <c r="C573" s="357"/>
      <c r="D573" s="357"/>
      <c r="E573" s="362"/>
      <c r="F573" s="385"/>
      <c r="G573" s="356"/>
      <c r="H573" s="90"/>
      <c r="I573" s="61" t="s">
        <v>225</v>
      </c>
      <c r="J573" s="62"/>
      <c r="K573" s="62"/>
      <c r="L573" s="62"/>
      <c r="M573" s="84"/>
      <c r="N573" s="84"/>
      <c r="O573" s="62"/>
      <c r="P573" s="62"/>
      <c r="Q573" s="62"/>
      <c r="R573" s="62"/>
      <c r="S573" s="62"/>
      <c r="T573" s="62"/>
      <c r="U573" s="62"/>
      <c r="V573" s="62"/>
      <c r="W573" s="62"/>
      <c r="X573" s="371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2" hidden="1" customHeight="1">
      <c r="A574" s="403"/>
      <c r="B574" s="373"/>
      <c r="C574" s="357"/>
      <c r="D574" s="357"/>
      <c r="E574" s="362"/>
      <c r="F574" s="385"/>
      <c r="G574" s="356"/>
      <c r="H574" s="90"/>
      <c r="I574" s="61" t="s">
        <v>30</v>
      </c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371"/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2" hidden="1" customHeight="1">
      <c r="A575" s="403"/>
      <c r="B575" s="373"/>
      <c r="C575" s="357"/>
      <c r="D575" s="357"/>
      <c r="E575" s="362"/>
      <c r="F575" s="385"/>
      <c r="G575" s="356"/>
      <c r="H575" s="90"/>
      <c r="I575" s="61" t="s">
        <v>70</v>
      </c>
      <c r="J575" s="62"/>
      <c r="K575" s="62">
        <v>14000</v>
      </c>
      <c r="L575" s="84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371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hidden="1" customHeight="1">
      <c r="A576" s="404"/>
      <c r="B576" s="373"/>
      <c r="C576" s="357"/>
      <c r="D576" s="357"/>
      <c r="E576" s="362"/>
      <c r="F576" s="385"/>
      <c r="G576" s="356"/>
      <c r="H576" s="90"/>
      <c r="I576" s="64" t="s">
        <v>26</v>
      </c>
      <c r="J576" s="65">
        <f>SUM(J572:J575)</f>
        <v>20000</v>
      </c>
      <c r="K576" s="65">
        <f t="shared" ref="K576:P576" si="179">SUM(K572:K575)</f>
        <v>14000</v>
      </c>
      <c r="L576" s="65">
        <f t="shared" si="179"/>
        <v>0</v>
      </c>
      <c r="M576" s="65">
        <f t="shared" si="179"/>
        <v>0</v>
      </c>
      <c r="N576" s="65">
        <f t="shared" si="179"/>
        <v>0</v>
      </c>
      <c r="O576" s="65">
        <f t="shared" si="179"/>
        <v>0</v>
      </c>
      <c r="P576" s="65">
        <f t="shared" si="179"/>
        <v>0</v>
      </c>
      <c r="Q576" s="65"/>
      <c r="R576" s="65"/>
      <c r="S576" s="65"/>
      <c r="T576" s="65"/>
      <c r="U576" s="65"/>
      <c r="V576" s="65"/>
      <c r="W576" s="65"/>
      <c r="X576" s="371"/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53">
        <v>41</v>
      </c>
      <c r="B577" s="374" t="s">
        <v>97</v>
      </c>
      <c r="C577" s="357">
        <v>2018</v>
      </c>
      <c r="D577" s="406">
        <v>2026</v>
      </c>
      <c r="E577" s="362" t="s">
        <v>260</v>
      </c>
      <c r="F577" s="385">
        <f>227300+X577</f>
        <v>377300</v>
      </c>
      <c r="G577" s="356">
        <v>63003</v>
      </c>
      <c r="H577" s="90">
        <v>6050</v>
      </c>
      <c r="I577" s="211" t="s">
        <v>28</v>
      </c>
      <c r="J577" s="84">
        <v>57810</v>
      </c>
      <c r="K577" s="62"/>
      <c r="L577" s="62"/>
      <c r="M577" s="84">
        <v>0</v>
      </c>
      <c r="N577" s="84"/>
      <c r="O577" s="84">
        <v>150000</v>
      </c>
      <c r="P577" s="244"/>
      <c r="Q577" s="84"/>
      <c r="R577" s="84"/>
      <c r="S577" s="84"/>
      <c r="T577" s="84"/>
      <c r="U577" s="84"/>
      <c r="V577" s="84"/>
      <c r="W577" s="84"/>
      <c r="X577" s="371">
        <f>SUM(K581:W581)</f>
        <v>150000</v>
      </c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11.25" customHeight="1">
      <c r="A578" s="353"/>
      <c r="B578" s="374"/>
      <c r="C578" s="357"/>
      <c r="D578" s="406"/>
      <c r="E578" s="362"/>
      <c r="F578" s="385"/>
      <c r="G578" s="356"/>
      <c r="H578" s="90"/>
      <c r="I578" s="211" t="s">
        <v>28</v>
      </c>
      <c r="J578" s="62"/>
      <c r="K578" s="62"/>
      <c r="L578" s="62"/>
      <c r="M578" s="84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371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1.25" customHeight="1">
      <c r="A579" s="353"/>
      <c r="B579" s="374"/>
      <c r="C579" s="357"/>
      <c r="D579" s="406"/>
      <c r="E579" s="362"/>
      <c r="F579" s="385"/>
      <c r="G579" s="356"/>
      <c r="H579" s="90"/>
      <c r="I579" s="60" t="s">
        <v>30</v>
      </c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371"/>
      <c r="Y579" s="40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  <c r="EC579" s="148"/>
      <c r="ED579" s="148"/>
      <c r="EE579" s="148"/>
      <c r="EF579" s="148"/>
      <c r="EG579" s="148"/>
      <c r="EH579" s="148"/>
      <c r="EI579" s="148"/>
      <c r="EJ579" s="148"/>
      <c r="EK579" s="148"/>
      <c r="EL579" s="148"/>
      <c r="EM579" s="148"/>
      <c r="EN579" s="148"/>
      <c r="EO579" s="148"/>
      <c r="EP579" s="148"/>
      <c r="EQ579" s="148"/>
      <c r="ER579" s="148"/>
      <c r="ES579" s="148"/>
      <c r="ET579" s="148"/>
      <c r="EU579" s="148"/>
      <c r="EV579" s="148"/>
      <c r="EW579" s="148"/>
      <c r="EX579" s="148"/>
      <c r="EY579" s="148"/>
      <c r="EZ579" s="148"/>
      <c r="FA579" s="148"/>
      <c r="FB579" s="148"/>
      <c r="FC579" s="148"/>
      <c r="FD579" s="148"/>
      <c r="FE579" s="148"/>
      <c r="FF579" s="148"/>
      <c r="FG579" s="148"/>
      <c r="FH579" s="148"/>
      <c r="FI579" s="148"/>
      <c r="FJ579" s="148"/>
      <c r="FK579" s="148"/>
      <c r="FL579" s="148"/>
      <c r="FM579" s="148"/>
      <c r="FN579" s="148"/>
      <c r="FO579" s="148"/>
      <c r="FP579" s="148"/>
      <c r="FQ579" s="148"/>
      <c r="FR579" s="148"/>
      <c r="FS579" s="148"/>
      <c r="FT579" s="148"/>
      <c r="FU579" s="148"/>
      <c r="FV579" s="148"/>
      <c r="FW579" s="148"/>
      <c r="FX579" s="148"/>
      <c r="FY579" s="148"/>
      <c r="FZ579" s="148"/>
      <c r="GA579" s="148"/>
      <c r="GB579" s="148"/>
      <c r="GC579" s="148"/>
      <c r="GD579" s="148"/>
      <c r="GE579" s="148"/>
      <c r="GF579" s="148"/>
      <c r="GG579" s="148"/>
      <c r="GH579" s="148"/>
      <c r="GI579" s="148"/>
      <c r="GJ579" s="148"/>
      <c r="GK579" s="148"/>
      <c r="GL579" s="148"/>
      <c r="GM579" s="148"/>
      <c r="GN579" s="148"/>
      <c r="GO579" s="148"/>
      <c r="GP579" s="96"/>
    </row>
    <row r="580" spans="1:198" ht="11.25" customHeight="1">
      <c r="A580" s="353"/>
      <c r="B580" s="374"/>
      <c r="C580" s="357"/>
      <c r="D580" s="406"/>
      <c r="E580" s="362"/>
      <c r="F580" s="385"/>
      <c r="G580" s="356"/>
      <c r="H580" s="90"/>
      <c r="I580" s="60" t="s">
        <v>33</v>
      </c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371"/>
      <c r="Y580" s="40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  <c r="EC580" s="148"/>
      <c r="ED580" s="148"/>
      <c r="EE580" s="148"/>
      <c r="EF580" s="148"/>
      <c r="EG580" s="148"/>
      <c r="EH580" s="148"/>
      <c r="EI580" s="148"/>
      <c r="EJ580" s="148"/>
      <c r="EK580" s="148"/>
      <c r="EL580" s="148"/>
      <c r="EM580" s="148"/>
      <c r="EN580" s="148"/>
      <c r="EO580" s="148"/>
      <c r="EP580" s="148"/>
      <c r="EQ580" s="148"/>
      <c r="ER580" s="148"/>
      <c r="ES580" s="148"/>
      <c r="ET580" s="148"/>
      <c r="EU580" s="148"/>
      <c r="EV580" s="148"/>
      <c r="EW580" s="148"/>
      <c r="EX580" s="148"/>
      <c r="EY580" s="148"/>
      <c r="EZ580" s="148"/>
      <c r="FA580" s="148"/>
      <c r="FB580" s="148"/>
      <c r="FC580" s="148"/>
      <c r="FD580" s="148"/>
      <c r="FE580" s="148"/>
      <c r="FF580" s="148"/>
      <c r="FG580" s="148"/>
      <c r="FH580" s="148"/>
      <c r="FI580" s="148"/>
      <c r="FJ580" s="148"/>
      <c r="FK580" s="148"/>
      <c r="FL580" s="148"/>
      <c r="FM580" s="148"/>
      <c r="FN580" s="148"/>
      <c r="FO580" s="148"/>
      <c r="FP580" s="148"/>
      <c r="FQ580" s="148"/>
      <c r="FR580" s="148"/>
      <c r="FS580" s="148"/>
      <c r="FT580" s="148"/>
      <c r="FU580" s="148"/>
      <c r="FV580" s="148"/>
      <c r="FW580" s="148"/>
      <c r="FX580" s="148"/>
      <c r="FY580" s="148"/>
      <c r="FZ580" s="148"/>
      <c r="GA580" s="148"/>
      <c r="GB580" s="148"/>
      <c r="GC580" s="148"/>
      <c r="GD580" s="148"/>
      <c r="GE580" s="148"/>
      <c r="GF580" s="148"/>
      <c r="GG580" s="148"/>
      <c r="GH580" s="148"/>
      <c r="GI580" s="148"/>
      <c r="GJ580" s="148"/>
      <c r="GK580" s="148"/>
      <c r="GL580" s="148"/>
      <c r="GM580" s="148"/>
      <c r="GN580" s="148"/>
      <c r="GO580" s="148"/>
      <c r="GP580" s="96"/>
    </row>
    <row r="581" spans="1:198" ht="9" customHeight="1">
      <c r="A581" s="353"/>
      <c r="B581" s="374"/>
      <c r="C581" s="357"/>
      <c r="D581" s="406"/>
      <c r="E581" s="362"/>
      <c r="F581" s="385"/>
      <c r="G581" s="356"/>
      <c r="H581" s="90"/>
      <c r="I581" s="64" t="s">
        <v>26</v>
      </c>
      <c r="J581" s="65">
        <f>SUM(J577:J580)</f>
        <v>57810</v>
      </c>
      <c r="K581" s="65">
        <f t="shared" ref="K581:N581" si="180">SUM(K577:K580)</f>
        <v>0</v>
      </c>
      <c r="L581" s="65">
        <f t="shared" si="180"/>
        <v>0</v>
      </c>
      <c r="M581" s="65">
        <f t="shared" si="180"/>
        <v>0</v>
      </c>
      <c r="N581" s="65">
        <f t="shared" si="180"/>
        <v>0</v>
      </c>
      <c r="O581" s="65">
        <f>SUM(O577:O580)</f>
        <v>150000</v>
      </c>
      <c r="P581" s="65">
        <f>SUM(P577:P580)</f>
        <v>0</v>
      </c>
      <c r="Q581" s="65"/>
      <c r="R581" s="65"/>
      <c r="S581" s="65"/>
      <c r="T581" s="65"/>
      <c r="U581" s="65"/>
      <c r="V581" s="65"/>
      <c r="W581" s="65"/>
      <c r="X581" s="371"/>
      <c r="Y581" s="40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DY581" s="148"/>
      <c r="DZ581" s="148"/>
      <c r="EA581" s="148"/>
      <c r="EB581" s="148"/>
      <c r="EC581" s="148"/>
      <c r="ED581" s="148"/>
      <c r="EE581" s="148"/>
      <c r="EF581" s="148"/>
      <c r="EG581" s="148"/>
      <c r="EH581" s="148"/>
      <c r="EI581" s="148"/>
      <c r="EJ581" s="148"/>
      <c r="EK581" s="148"/>
      <c r="EL581" s="148"/>
      <c r="EM581" s="148"/>
      <c r="EN581" s="148"/>
      <c r="EO581" s="148"/>
      <c r="EP581" s="148"/>
      <c r="EQ581" s="148"/>
      <c r="ER581" s="148"/>
      <c r="ES581" s="148"/>
      <c r="ET581" s="148"/>
      <c r="EU581" s="148"/>
      <c r="EV581" s="148"/>
      <c r="EW581" s="148"/>
      <c r="EX581" s="148"/>
      <c r="EY581" s="148"/>
      <c r="EZ581" s="148"/>
      <c r="FA581" s="148"/>
      <c r="FB581" s="148"/>
      <c r="FC581" s="148"/>
      <c r="FD581" s="148"/>
      <c r="FE581" s="148"/>
      <c r="FF581" s="148"/>
      <c r="FG581" s="148"/>
      <c r="FH581" s="148"/>
      <c r="FI581" s="148"/>
      <c r="FJ581" s="148"/>
      <c r="FK581" s="148"/>
      <c r="FL581" s="148"/>
      <c r="FM581" s="148"/>
      <c r="FN581" s="148"/>
      <c r="FO581" s="148"/>
      <c r="FP581" s="148"/>
      <c r="FQ581" s="148"/>
      <c r="FR581" s="148"/>
      <c r="FS581" s="148"/>
      <c r="FT581" s="148"/>
      <c r="FU581" s="148"/>
      <c r="FV581" s="148"/>
      <c r="FW581" s="148"/>
      <c r="FX581" s="148"/>
      <c r="FY581" s="148"/>
      <c r="FZ581" s="148"/>
      <c r="GA581" s="148"/>
      <c r="GB581" s="148"/>
      <c r="GC581" s="148"/>
      <c r="GD581" s="148"/>
      <c r="GE581" s="148"/>
      <c r="GF581" s="148"/>
      <c r="GG581" s="148"/>
      <c r="GH581" s="148"/>
      <c r="GI581" s="148"/>
      <c r="GJ581" s="148"/>
      <c r="GK581" s="148"/>
      <c r="GL581" s="148"/>
      <c r="GM581" s="148"/>
      <c r="GN581" s="148"/>
      <c r="GO581" s="148"/>
      <c r="GP581" s="96"/>
    </row>
    <row r="582" spans="1:198" ht="14.25" customHeight="1">
      <c r="A582" s="353">
        <v>42</v>
      </c>
      <c r="B582" s="374" t="s">
        <v>95</v>
      </c>
      <c r="C582" s="396">
        <v>2017</v>
      </c>
      <c r="D582" s="396">
        <v>2033</v>
      </c>
      <c r="E582" s="362" t="s">
        <v>260</v>
      </c>
      <c r="F582" s="554">
        <f>9237968+X582+2063150.72</f>
        <v>14543392.720000001</v>
      </c>
      <c r="G582" s="443">
        <v>70005</v>
      </c>
      <c r="H582" s="86">
        <v>6060</v>
      </c>
      <c r="I582" s="58" t="s">
        <v>28</v>
      </c>
      <c r="J582" s="87">
        <v>792379</v>
      </c>
      <c r="K582" s="87">
        <v>1440880</v>
      </c>
      <c r="L582" s="87"/>
      <c r="M582" s="334"/>
      <c r="N582" s="87">
        <v>818510</v>
      </c>
      <c r="O582" s="326">
        <v>1001695</v>
      </c>
      <c r="P582" s="327">
        <v>819791</v>
      </c>
      <c r="Q582" s="84">
        <v>102278</v>
      </c>
      <c r="R582" s="84">
        <v>100000</v>
      </c>
      <c r="S582" s="84">
        <v>100000</v>
      </c>
      <c r="T582" s="84">
        <v>100000</v>
      </c>
      <c r="U582" s="84">
        <v>100000</v>
      </c>
      <c r="V582" s="84">
        <v>100000</v>
      </c>
      <c r="W582" s="62"/>
      <c r="X582" s="554">
        <f>SUM(L586:W586)</f>
        <v>3242274</v>
      </c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14.25" customHeight="1">
      <c r="A583" s="353"/>
      <c r="B583" s="374"/>
      <c r="C583" s="396"/>
      <c r="D583" s="396"/>
      <c r="E583" s="362"/>
      <c r="F583" s="554"/>
      <c r="G583" s="443"/>
      <c r="H583" s="86"/>
      <c r="I583" s="58" t="s">
        <v>31</v>
      </c>
      <c r="J583" s="71"/>
      <c r="K583" s="71"/>
      <c r="L583" s="71"/>
      <c r="M583" s="310"/>
      <c r="N583" s="71"/>
      <c r="O583" s="71"/>
      <c r="P583" s="62"/>
      <c r="Q583" s="62"/>
      <c r="R583" s="62"/>
      <c r="S583" s="62"/>
      <c r="T583" s="62"/>
      <c r="U583" s="62"/>
      <c r="V583" s="62"/>
      <c r="W583" s="62"/>
      <c r="X583" s="554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4.25" customHeight="1">
      <c r="A584" s="353"/>
      <c r="B584" s="374"/>
      <c r="C584" s="396"/>
      <c r="D584" s="396"/>
      <c r="E584" s="362"/>
      <c r="F584" s="554"/>
      <c r="G584" s="443"/>
      <c r="H584" s="86"/>
      <c r="I584" s="58" t="s">
        <v>30</v>
      </c>
      <c r="J584" s="71"/>
      <c r="K584" s="71"/>
      <c r="L584" s="71"/>
      <c r="M584" s="311"/>
      <c r="N584" s="70"/>
      <c r="O584" s="70"/>
      <c r="P584" s="62"/>
      <c r="Q584" s="62"/>
      <c r="R584" s="62"/>
      <c r="S584" s="62"/>
      <c r="T584" s="62"/>
      <c r="U584" s="62"/>
      <c r="V584" s="62"/>
      <c r="W584" s="62"/>
      <c r="X584" s="554"/>
      <c r="Y584" s="40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12.75" customHeight="1">
      <c r="A585" s="353"/>
      <c r="B585" s="374"/>
      <c r="C585" s="396"/>
      <c r="D585" s="396"/>
      <c r="E585" s="362"/>
      <c r="F585" s="554"/>
      <c r="G585" s="443"/>
      <c r="H585" s="86">
        <v>6050</v>
      </c>
      <c r="I585" s="58" t="s">
        <v>33</v>
      </c>
      <c r="J585" s="71"/>
      <c r="K585" s="71"/>
      <c r="L585" s="87"/>
      <c r="M585" s="311"/>
      <c r="N585" s="70"/>
      <c r="O585" s="70"/>
      <c r="P585" s="62"/>
      <c r="Q585" s="62"/>
      <c r="R585" s="62"/>
      <c r="S585" s="62"/>
      <c r="T585" s="62"/>
      <c r="U585" s="62"/>
      <c r="V585" s="62"/>
      <c r="W585" s="62"/>
      <c r="X585" s="554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9.75" customHeight="1">
      <c r="A586" s="353"/>
      <c r="B586" s="374"/>
      <c r="C586" s="396"/>
      <c r="D586" s="396"/>
      <c r="E586" s="362"/>
      <c r="F586" s="554"/>
      <c r="G586" s="443"/>
      <c r="H586" s="86"/>
      <c r="I586" s="59" t="s">
        <v>26</v>
      </c>
      <c r="J586" s="213">
        <f t="shared" ref="J586:V586" si="181">SUM(J582:J585)</f>
        <v>792379</v>
      </c>
      <c r="K586" s="238">
        <f t="shared" si="181"/>
        <v>1440880</v>
      </c>
      <c r="L586" s="213">
        <f t="shared" si="181"/>
        <v>0</v>
      </c>
      <c r="M586" s="312">
        <f t="shared" si="181"/>
        <v>0</v>
      </c>
      <c r="N586" s="321">
        <f t="shared" si="181"/>
        <v>818510</v>
      </c>
      <c r="O586" s="321">
        <f t="shared" si="181"/>
        <v>1001695</v>
      </c>
      <c r="P586" s="321">
        <f t="shared" si="181"/>
        <v>819791</v>
      </c>
      <c r="Q586" s="213">
        <f t="shared" si="181"/>
        <v>102278</v>
      </c>
      <c r="R586" s="213">
        <f t="shared" si="181"/>
        <v>100000</v>
      </c>
      <c r="S586" s="213">
        <f t="shared" si="181"/>
        <v>100000</v>
      </c>
      <c r="T586" s="213">
        <f t="shared" si="181"/>
        <v>100000</v>
      </c>
      <c r="U586" s="213">
        <f t="shared" si="181"/>
        <v>100000</v>
      </c>
      <c r="V586" s="213">
        <f t="shared" si="181"/>
        <v>100000</v>
      </c>
      <c r="W586" s="213"/>
      <c r="X586" s="554"/>
      <c r="Y586" s="40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53">
        <v>43</v>
      </c>
      <c r="B587" s="374" t="s">
        <v>142</v>
      </c>
      <c r="C587" s="384">
        <v>2021</v>
      </c>
      <c r="D587" s="384">
        <v>2028</v>
      </c>
      <c r="E587" s="362" t="s">
        <v>260</v>
      </c>
      <c r="F587" s="367">
        <f>61652+X587</f>
        <v>2561652</v>
      </c>
      <c r="G587" s="356">
        <v>70005</v>
      </c>
      <c r="H587" s="89">
        <v>6050</v>
      </c>
      <c r="I587" s="60" t="s">
        <v>28</v>
      </c>
      <c r="J587" s="77"/>
      <c r="K587" s="77"/>
      <c r="L587" s="212"/>
      <c r="M587" s="317"/>
      <c r="N587" s="323"/>
      <c r="O587" s="323"/>
      <c r="P587" s="87">
        <v>870000</v>
      </c>
      <c r="Q587" s="319">
        <v>1630000</v>
      </c>
      <c r="R587" s="77"/>
      <c r="S587" s="77"/>
      <c r="T587" s="77"/>
      <c r="U587" s="77"/>
      <c r="V587" s="77"/>
      <c r="W587" s="77"/>
      <c r="X587" s="371">
        <f>SUM(L591:W591)</f>
        <v>2500000</v>
      </c>
      <c r="Y587" s="138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53"/>
      <c r="B588" s="374"/>
      <c r="C588" s="384"/>
      <c r="D588" s="384"/>
      <c r="E588" s="362"/>
      <c r="F588" s="367"/>
      <c r="G588" s="356"/>
      <c r="H588" s="89"/>
      <c r="I588" s="60" t="s">
        <v>31</v>
      </c>
      <c r="J588" s="70"/>
      <c r="K588" s="70"/>
      <c r="L588" s="70"/>
      <c r="M588" s="318"/>
      <c r="N588" s="70"/>
      <c r="O588" s="70"/>
      <c r="P588" s="70"/>
      <c r="Q588" s="320"/>
      <c r="R588" s="70"/>
      <c r="S588" s="70"/>
      <c r="T588" s="70"/>
      <c r="U588" s="70"/>
      <c r="V588" s="70"/>
      <c r="W588" s="70"/>
      <c r="X588" s="371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3.5" customHeight="1">
      <c r="A589" s="353"/>
      <c r="B589" s="374"/>
      <c r="C589" s="384"/>
      <c r="D589" s="384"/>
      <c r="E589" s="362"/>
      <c r="F589" s="367"/>
      <c r="G589" s="356"/>
      <c r="H589" s="89"/>
      <c r="I589" s="60" t="s">
        <v>30</v>
      </c>
      <c r="J589" s="70"/>
      <c r="K589" s="70"/>
      <c r="L589" s="70"/>
      <c r="M589" s="318"/>
      <c r="N589" s="70"/>
      <c r="O589" s="70"/>
      <c r="P589" s="70"/>
      <c r="Q589" s="320"/>
      <c r="R589" s="70"/>
      <c r="S589" s="70"/>
      <c r="T589" s="70"/>
      <c r="U589" s="70"/>
      <c r="V589" s="70"/>
      <c r="W589" s="70"/>
      <c r="X589" s="371"/>
      <c r="Y589" s="40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3.5" customHeight="1">
      <c r="A590" s="353"/>
      <c r="B590" s="374"/>
      <c r="C590" s="384"/>
      <c r="D590" s="384"/>
      <c r="E590" s="362"/>
      <c r="F590" s="367"/>
      <c r="G590" s="356"/>
      <c r="H590" s="89">
        <v>6050</v>
      </c>
      <c r="I590" s="60" t="s">
        <v>55</v>
      </c>
      <c r="J590" s="70"/>
      <c r="K590" s="70"/>
      <c r="L590" s="87"/>
      <c r="M590" s="71">
        <v>0</v>
      </c>
      <c r="N590" s="322"/>
      <c r="O590" s="322"/>
      <c r="P590" s="322"/>
      <c r="Q590" s="70"/>
      <c r="R590" s="70"/>
      <c r="S590" s="70"/>
      <c r="T590" s="70"/>
      <c r="U590" s="70"/>
      <c r="V590" s="70"/>
      <c r="W590" s="70"/>
      <c r="X590" s="371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3.5" customHeight="1">
      <c r="A591" s="353"/>
      <c r="B591" s="374"/>
      <c r="C591" s="384"/>
      <c r="D591" s="384"/>
      <c r="E591" s="362"/>
      <c r="F591" s="367"/>
      <c r="G591" s="356"/>
      <c r="H591" s="89"/>
      <c r="I591" s="72" t="s">
        <v>26</v>
      </c>
      <c r="J591" s="66">
        <f t="shared" ref="J591:N591" si="182">SUM(J587:J590)</f>
        <v>0</v>
      </c>
      <c r="K591" s="66">
        <f t="shared" si="182"/>
        <v>0</v>
      </c>
      <c r="L591" s="66">
        <f t="shared" si="182"/>
        <v>0</v>
      </c>
      <c r="M591" s="66">
        <f>SUM(M587:M590)</f>
        <v>0</v>
      </c>
      <c r="N591" s="66">
        <f t="shared" si="182"/>
        <v>0</v>
      </c>
      <c r="O591" s="66">
        <f>SUM(O587:O590)</f>
        <v>0</v>
      </c>
      <c r="P591" s="66">
        <f>SUM(P587:P590)</f>
        <v>870000</v>
      </c>
      <c r="Q591" s="66">
        <f t="shared" ref="Q591:T591" si="183">SUM(Q587:Q590)</f>
        <v>1630000</v>
      </c>
      <c r="R591" s="66">
        <f t="shared" si="183"/>
        <v>0</v>
      </c>
      <c r="S591" s="66">
        <f t="shared" si="183"/>
        <v>0</v>
      </c>
      <c r="T591" s="66">
        <f t="shared" si="183"/>
        <v>0</v>
      </c>
      <c r="U591" s="66"/>
      <c r="V591" s="66"/>
      <c r="W591" s="66"/>
      <c r="X591" s="371"/>
      <c r="Y591" s="40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53">
        <v>44</v>
      </c>
      <c r="B592" s="374" t="s">
        <v>104</v>
      </c>
      <c r="C592" s="384">
        <v>2019</v>
      </c>
      <c r="D592" s="384">
        <v>2030</v>
      </c>
      <c r="E592" s="362" t="s">
        <v>260</v>
      </c>
      <c r="F592" s="367">
        <f>63000+X592</f>
        <v>2463000</v>
      </c>
      <c r="G592" s="356">
        <v>70005</v>
      </c>
      <c r="H592" s="89">
        <v>6050</v>
      </c>
      <c r="I592" s="60" t="s">
        <v>28</v>
      </c>
      <c r="J592" s="77">
        <v>46947</v>
      </c>
      <c r="K592" s="87">
        <v>3000</v>
      </c>
      <c r="L592" s="77"/>
      <c r="M592" s="87"/>
      <c r="N592" s="244"/>
      <c r="O592" s="244"/>
      <c r="P592" s="244"/>
      <c r="Q592" s="87">
        <v>500000</v>
      </c>
      <c r="R592" s="87">
        <v>1500000</v>
      </c>
      <c r="S592" s="87">
        <v>400000</v>
      </c>
      <c r="T592" s="71"/>
      <c r="U592" s="71"/>
      <c r="V592" s="71"/>
      <c r="W592" s="71"/>
      <c r="X592" s="371">
        <f>SUM(L596:W596)</f>
        <v>2400000</v>
      </c>
      <c r="Y592" s="138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53"/>
      <c r="B593" s="374"/>
      <c r="C593" s="384"/>
      <c r="D593" s="384"/>
      <c r="E593" s="362"/>
      <c r="F593" s="367"/>
      <c r="G593" s="356"/>
      <c r="H593" s="89"/>
      <c r="I593" s="60" t="s">
        <v>31</v>
      </c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371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1.25" customHeight="1">
      <c r="A594" s="353"/>
      <c r="B594" s="374"/>
      <c r="C594" s="384"/>
      <c r="D594" s="384"/>
      <c r="E594" s="362"/>
      <c r="F594" s="367"/>
      <c r="G594" s="356"/>
      <c r="H594" s="89"/>
      <c r="I594" s="60" t="s">
        <v>30</v>
      </c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371"/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1.25" customHeight="1">
      <c r="A595" s="353"/>
      <c r="B595" s="374"/>
      <c r="C595" s="384"/>
      <c r="D595" s="384"/>
      <c r="E595" s="362"/>
      <c r="F595" s="367"/>
      <c r="G595" s="356"/>
      <c r="H595" s="89"/>
      <c r="I595" s="60" t="s">
        <v>92</v>
      </c>
      <c r="J595" s="70">
        <v>13053</v>
      </c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371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1.25" customHeight="1">
      <c r="A596" s="353"/>
      <c r="B596" s="374"/>
      <c r="C596" s="384"/>
      <c r="D596" s="384"/>
      <c r="E596" s="362"/>
      <c r="F596" s="367"/>
      <c r="G596" s="356"/>
      <c r="H596" s="89"/>
      <c r="I596" s="72" t="s">
        <v>26</v>
      </c>
      <c r="J596" s="66">
        <f t="shared" ref="J596:K596" si="184">SUM(J592:J595)</f>
        <v>60000</v>
      </c>
      <c r="K596" s="66">
        <f t="shared" si="184"/>
        <v>3000</v>
      </c>
      <c r="L596" s="66">
        <f>SUM(L592:L595)</f>
        <v>0</v>
      </c>
      <c r="M596" s="66">
        <f>SUM(M592:M595)</f>
        <v>0</v>
      </c>
      <c r="N596" s="65">
        <f t="shared" ref="N596" si="185">SUM(N592:N595)</f>
        <v>0</v>
      </c>
      <c r="O596" s="66">
        <f>SUM(O592:O595)</f>
        <v>0</v>
      </c>
      <c r="P596" s="66">
        <f>SUM(P592:P595)</f>
        <v>0</v>
      </c>
      <c r="Q596" s="66">
        <f t="shared" ref="Q596:W596" si="186">SUM(Q592:Q595)</f>
        <v>500000</v>
      </c>
      <c r="R596" s="66">
        <f t="shared" si="186"/>
        <v>1500000</v>
      </c>
      <c r="S596" s="66">
        <f t="shared" si="186"/>
        <v>400000</v>
      </c>
      <c r="T596" s="66">
        <f t="shared" si="186"/>
        <v>0</v>
      </c>
      <c r="U596" s="66">
        <f t="shared" si="186"/>
        <v>0</v>
      </c>
      <c r="V596" s="66">
        <f t="shared" si="186"/>
        <v>0</v>
      </c>
      <c r="W596" s="66">
        <f t="shared" si="186"/>
        <v>0</v>
      </c>
      <c r="X596" s="371"/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53"/>
      <c r="B597" s="374" t="s">
        <v>222</v>
      </c>
      <c r="C597" s="370">
        <v>2024</v>
      </c>
      <c r="D597" s="370">
        <v>2025</v>
      </c>
      <c r="E597" s="362" t="s">
        <v>260</v>
      </c>
      <c r="F597" s="573">
        <f>X597</f>
        <v>0</v>
      </c>
      <c r="G597" s="354">
        <v>70005</v>
      </c>
      <c r="H597" s="200">
        <v>6050</v>
      </c>
      <c r="I597" s="155" t="s">
        <v>28</v>
      </c>
      <c r="J597" s="187">
        <v>383053</v>
      </c>
      <c r="K597" s="187"/>
      <c r="L597" s="187"/>
      <c r="M597" s="156"/>
      <c r="N597" s="223">
        <v>0</v>
      </c>
      <c r="O597" s="187"/>
      <c r="P597" s="187"/>
      <c r="Q597" s="187"/>
      <c r="R597" s="187"/>
      <c r="S597" s="187"/>
      <c r="T597" s="187"/>
      <c r="U597" s="187"/>
      <c r="V597" s="187"/>
      <c r="W597" s="187"/>
      <c r="X597" s="371">
        <f>SUM(L601:W601)</f>
        <v>0</v>
      </c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53"/>
      <c r="B598" s="374"/>
      <c r="C598" s="370"/>
      <c r="D598" s="370"/>
      <c r="E598" s="362"/>
      <c r="F598" s="573"/>
      <c r="G598" s="354"/>
      <c r="H598" s="200"/>
      <c r="I598" s="155" t="s">
        <v>31</v>
      </c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371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53"/>
      <c r="B599" s="374"/>
      <c r="C599" s="370"/>
      <c r="D599" s="370"/>
      <c r="E599" s="362"/>
      <c r="F599" s="573"/>
      <c r="G599" s="354"/>
      <c r="H599" s="200"/>
      <c r="I599" s="155" t="s">
        <v>30</v>
      </c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371"/>
      <c r="Y599" s="40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53"/>
      <c r="B600" s="374"/>
      <c r="C600" s="370"/>
      <c r="D600" s="370"/>
      <c r="E600" s="362"/>
      <c r="F600" s="573"/>
      <c r="G600" s="354"/>
      <c r="H600" s="200"/>
      <c r="I600" s="155" t="s">
        <v>92</v>
      </c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371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53"/>
      <c r="B601" s="374"/>
      <c r="C601" s="370"/>
      <c r="D601" s="370"/>
      <c r="E601" s="362"/>
      <c r="F601" s="573"/>
      <c r="G601" s="354"/>
      <c r="H601" s="200"/>
      <c r="I601" s="222" t="s">
        <v>26</v>
      </c>
      <c r="J601" s="162">
        <f>SUM(J597:J600)</f>
        <v>383053</v>
      </c>
      <c r="K601" s="162">
        <f t="shared" ref="K601:P601" si="187">SUM(K597:K600)</f>
        <v>0</v>
      </c>
      <c r="L601" s="162">
        <f t="shared" si="187"/>
        <v>0</v>
      </c>
      <c r="M601" s="162">
        <f t="shared" si="187"/>
        <v>0</v>
      </c>
      <c r="N601" s="162">
        <f t="shared" si="187"/>
        <v>0</v>
      </c>
      <c r="O601" s="162">
        <f t="shared" si="187"/>
        <v>0</v>
      </c>
      <c r="P601" s="162">
        <f t="shared" si="187"/>
        <v>0</v>
      </c>
      <c r="Q601" s="162"/>
      <c r="R601" s="162"/>
      <c r="S601" s="162"/>
      <c r="T601" s="162"/>
      <c r="U601" s="162"/>
      <c r="V601" s="162"/>
      <c r="W601" s="162"/>
      <c r="X601" s="371"/>
      <c r="Y601" s="40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53">
        <v>51</v>
      </c>
      <c r="B602" s="376" t="s">
        <v>76</v>
      </c>
      <c r="C602" s="433">
        <v>2018</v>
      </c>
      <c r="D602" s="433">
        <v>2024</v>
      </c>
      <c r="E602" s="362" t="s">
        <v>260</v>
      </c>
      <c r="F602" s="414">
        <v>0</v>
      </c>
      <c r="G602" s="418">
        <v>90013</v>
      </c>
      <c r="H602" s="104">
        <v>6060</v>
      </c>
      <c r="I602" s="105" t="s">
        <v>28</v>
      </c>
      <c r="J602" s="144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372">
        <f>SUM(J606:P606)</f>
        <v>0</v>
      </c>
      <c r="Y602" s="141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15.75" hidden="1" customHeight="1">
      <c r="A603" s="353"/>
      <c r="B603" s="376"/>
      <c r="C603" s="433"/>
      <c r="D603" s="433"/>
      <c r="E603" s="362"/>
      <c r="F603" s="414"/>
      <c r="G603" s="418"/>
      <c r="H603" s="104">
        <v>6610</v>
      </c>
      <c r="I603" s="105" t="s">
        <v>28</v>
      </c>
      <c r="J603" s="94">
        <v>0</v>
      </c>
      <c r="K603" s="93">
        <v>0</v>
      </c>
      <c r="L603" s="93">
        <v>0</v>
      </c>
      <c r="M603" s="93">
        <v>0</v>
      </c>
      <c r="N603" s="93">
        <v>0</v>
      </c>
      <c r="O603" s="93">
        <v>0</v>
      </c>
      <c r="P603" s="93"/>
      <c r="Q603" s="93"/>
      <c r="R603" s="93"/>
      <c r="S603" s="93"/>
      <c r="T603" s="93"/>
      <c r="U603" s="93"/>
      <c r="V603" s="93"/>
      <c r="W603" s="93"/>
      <c r="X603" s="372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5.75" hidden="1" customHeight="1">
      <c r="A604" s="353"/>
      <c r="B604" s="376"/>
      <c r="C604" s="433"/>
      <c r="D604" s="433"/>
      <c r="E604" s="362"/>
      <c r="F604" s="414"/>
      <c r="G604" s="418"/>
      <c r="H604" s="104"/>
      <c r="I604" s="105" t="s">
        <v>30</v>
      </c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372"/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15.75" hidden="1" customHeight="1">
      <c r="A605" s="353"/>
      <c r="B605" s="376"/>
      <c r="C605" s="433"/>
      <c r="D605" s="433"/>
      <c r="E605" s="362"/>
      <c r="F605" s="414"/>
      <c r="G605" s="418"/>
      <c r="H605" s="104"/>
      <c r="I605" s="105" t="s">
        <v>33</v>
      </c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372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9.75" hidden="1" customHeight="1">
      <c r="A606" s="353"/>
      <c r="B606" s="376"/>
      <c r="C606" s="433"/>
      <c r="D606" s="433"/>
      <c r="E606" s="362"/>
      <c r="F606" s="414"/>
      <c r="G606" s="418"/>
      <c r="H606" s="104"/>
      <c r="I606" s="108" t="s">
        <v>26</v>
      </c>
      <c r="J606" s="102">
        <f>SUM(J602:J605)</f>
        <v>0</v>
      </c>
      <c r="K606" s="102">
        <f t="shared" ref="K606:P606" si="188">SUM(K602:K605)</f>
        <v>0</v>
      </c>
      <c r="L606" s="102">
        <f t="shared" si="188"/>
        <v>0</v>
      </c>
      <c r="M606" s="102">
        <f t="shared" si="188"/>
        <v>0</v>
      </c>
      <c r="N606" s="102">
        <f t="shared" si="188"/>
        <v>0</v>
      </c>
      <c r="O606" s="102">
        <f t="shared" si="188"/>
        <v>0</v>
      </c>
      <c r="P606" s="102">
        <f t="shared" si="188"/>
        <v>0</v>
      </c>
      <c r="Q606" s="102"/>
      <c r="R606" s="102"/>
      <c r="S606" s="102"/>
      <c r="T606" s="102"/>
      <c r="U606" s="102"/>
      <c r="V606" s="102"/>
      <c r="W606" s="102"/>
      <c r="X606" s="372"/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6.5" hidden="1" customHeight="1">
      <c r="A607" s="353">
        <v>39</v>
      </c>
      <c r="B607" s="374" t="s">
        <v>198</v>
      </c>
      <c r="C607" s="357">
        <v>2024</v>
      </c>
      <c r="D607" s="357">
        <v>2024</v>
      </c>
      <c r="E607" s="362" t="s">
        <v>260</v>
      </c>
      <c r="F607" s="367">
        <f>X607</f>
        <v>0</v>
      </c>
      <c r="G607" s="356">
        <v>70007</v>
      </c>
      <c r="H607" s="90">
        <v>6050</v>
      </c>
      <c r="I607" s="61" t="s">
        <v>28</v>
      </c>
      <c r="J607" s="62"/>
      <c r="K607" s="62"/>
      <c r="L607" s="87"/>
      <c r="M607" s="87"/>
      <c r="N607" s="87"/>
      <c r="O607" s="87"/>
      <c r="P607" s="71"/>
      <c r="Q607" s="71"/>
      <c r="R607" s="71"/>
      <c r="S607" s="71"/>
      <c r="T607" s="71"/>
      <c r="U607" s="71"/>
      <c r="V607" s="71"/>
      <c r="W607" s="71"/>
      <c r="X607" s="371">
        <f>SUM(L611:P611)</f>
        <v>0</v>
      </c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2" hidden="1" customHeight="1">
      <c r="A608" s="353"/>
      <c r="B608" s="374"/>
      <c r="C608" s="357"/>
      <c r="D608" s="357"/>
      <c r="E608" s="362"/>
      <c r="F608" s="367"/>
      <c r="G608" s="356"/>
      <c r="H608" s="90"/>
      <c r="I608" s="61" t="s">
        <v>31</v>
      </c>
      <c r="J608" s="62"/>
      <c r="K608" s="62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371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3.5" hidden="1" customHeight="1">
      <c r="A609" s="353"/>
      <c r="B609" s="374"/>
      <c r="C609" s="357"/>
      <c r="D609" s="357"/>
      <c r="E609" s="362"/>
      <c r="F609" s="367"/>
      <c r="G609" s="356"/>
      <c r="H609" s="90"/>
      <c r="I609" s="61" t="s">
        <v>30</v>
      </c>
      <c r="J609" s="62"/>
      <c r="K609" s="62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371"/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5" hidden="1" customHeight="1">
      <c r="A610" s="353"/>
      <c r="B610" s="374"/>
      <c r="C610" s="357"/>
      <c r="D610" s="357"/>
      <c r="E610" s="362"/>
      <c r="F610" s="367"/>
      <c r="G610" s="356"/>
      <c r="H610" s="90"/>
      <c r="I610" s="61" t="s">
        <v>175</v>
      </c>
      <c r="J610" s="62"/>
      <c r="K610" s="62"/>
      <c r="L610" s="71">
        <v>0</v>
      </c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371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4.25" hidden="1" customHeight="1">
      <c r="A611" s="353"/>
      <c r="B611" s="374"/>
      <c r="C611" s="357"/>
      <c r="D611" s="357"/>
      <c r="E611" s="362"/>
      <c r="F611" s="367"/>
      <c r="G611" s="356"/>
      <c r="H611" s="90"/>
      <c r="I611" s="64" t="s">
        <v>26</v>
      </c>
      <c r="J611" s="65"/>
      <c r="K611" s="65"/>
      <c r="L611" s="65">
        <f>SUM(L607:L610)</f>
        <v>0</v>
      </c>
      <c r="M611" s="65">
        <f>SUM(M607:M610)</f>
        <v>0</v>
      </c>
      <c r="N611" s="65">
        <f>SUM(N607:N610)</f>
        <v>0</v>
      </c>
      <c r="O611" s="65">
        <f>SUM(O607:O610)</f>
        <v>0</v>
      </c>
      <c r="P611" s="65">
        <f>SUM(P607:P610)</f>
        <v>0</v>
      </c>
      <c r="Q611" s="65"/>
      <c r="R611" s="65"/>
      <c r="S611" s="65"/>
      <c r="T611" s="65"/>
      <c r="U611" s="65"/>
      <c r="V611" s="65"/>
      <c r="W611" s="65"/>
      <c r="X611" s="371"/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53">
        <v>40</v>
      </c>
      <c r="B612" s="376" t="s">
        <v>176</v>
      </c>
      <c r="C612" s="384">
        <v>2020</v>
      </c>
      <c r="D612" s="357">
        <v>2023</v>
      </c>
      <c r="E612" s="362" t="s">
        <v>260</v>
      </c>
      <c r="F612" s="367"/>
      <c r="G612" s="356">
        <v>70007</v>
      </c>
      <c r="H612" s="89">
        <v>6050</v>
      </c>
      <c r="I612" s="60" t="s">
        <v>28</v>
      </c>
      <c r="J612" s="65"/>
      <c r="K612" s="65"/>
      <c r="L612" s="87"/>
      <c r="M612" s="87"/>
      <c r="N612" s="87"/>
      <c r="O612" s="77"/>
      <c r="P612" s="70"/>
      <c r="Q612" s="70"/>
      <c r="R612" s="70"/>
      <c r="S612" s="70"/>
      <c r="T612" s="70"/>
      <c r="U612" s="70"/>
      <c r="V612" s="70"/>
      <c r="W612" s="70"/>
      <c r="X612" s="371">
        <f>SUM(L616:P616)</f>
        <v>0</v>
      </c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.75" hidden="1" customHeight="1">
      <c r="A613" s="353"/>
      <c r="B613" s="376"/>
      <c r="C613" s="384"/>
      <c r="D613" s="357"/>
      <c r="E613" s="362"/>
      <c r="F613" s="367"/>
      <c r="G613" s="356"/>
      <c r="H613" s="89"/>
      <c r="I613" s="60" t="s">
        <v>31</v>
      </c>
      <c r="J613" s="65"/>
      <c r="K613" s="65"/>
      <c r="L613" s="70"/>
      <c r="M613" s="71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371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hidden="1" customHeight="1">
      <c r="A614" s="353"/>
      <c r="B614" s="376"/>
      <c r="C614" s="384"/>
      <c r="D614" s="357"/>
      <c r="E614" s="362"/>
      <c r="F614" s="367"/>
      <c r="G614" s="356"/>
      <c r="H614" s="89"/>
      <c r="I614" s="60" t="s">
        <v>30</v>
      </c>
      <c r="J614" s="65"/>
      <c r="K614" s="65"/>
      <c r="L614" s="71"/>
      <c r="M614" s="71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371"/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.75" hidden="1" customHeight="1">
      <c r="A615" s="353"/>
      <c r="B615" s="376"/>
      <c r="C615" s="384"/>
      <c r="D615" s="357"/>
      <c r="E615" s="362"/>
      <c r="F615" s="367"/>
      <c r="G615" s="356"/>
      <c r="H615" s="89"/>
      <c r="I615" s="61" t="s">
        <v>175</v>
      </c>
      <c r="J615" s="62"/>
      <c r="K615" s="62"/>
      <c r="L615" s="71">
        <v>0</v>
      </c>
      <c r="M615" s="71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371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" hidden="1" customHeight="1">
      <c r="A616" s="353"/>
      <c r="B616" s="376"/>
      <c r="C616" s="384"/>
      <c r="D616" s="357"/>
      <c r="E616" s="362"/>
      <c r="F616" s="367"/>
      <c r="G616" s="356"/>
      <c r="H616" s="89"/>
      <c r="I616" s="72" t="s">
        <v>26</v>
      </c>
      <c r="J616" s="65"/>
      <c r="K616" s="65"/>
      <c r="L616" s="66">
        <f>SUM(L612:L615)</f>
        <v>0</v>
      </c>
      <c r="M616" s="66">
        <f>SUM(M612:M615)</f>
        <v>0</v>
      </c>
      <c r="N616" s="65">
        <f>SUM(N612:N615)</f>
        <v>0</v>
      </c>
      <c r="O616" s="66">
        <f>SUM(O612:O615)</f>
        <v>0</v>
      </c>
      <c r="P616" s="66">
        <f>SUM(P612:P615)</f>
        <v>0</v>
      </c>
      <c r="Q616" s="66"/>
      <c r="R616" s="66"/>
      <c r="S616" s="66"/>
      <c r="T616" s="66"/>
      <c r="U616" s="66"/>
      <c r="V616" s="66"/>
      <c r="W616" s="66"/>
      <c r="X616" s="371"/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53">
        <v>45</v>
      </c>
      <c r="B617" s="374" t="s">
        <v>189</v>
      </c>
      <c r="C617" s="357">
        <v>2023</v>
      </c>
      <c r="D617" s="357">
        <v>2025</v>
      </c>
      <c r="E617" s="362" t="s">
        <v>260</v>
      </c>
      <c r="F617" s="367">
        <f>240000+X617+1276230</f>
        <v>2770000</v>
      </c>
      <c r="G617" s="356">
        <v>70007</v>
      </c>
      <c r="H617" s="90">
        <v>6050</v>
      </c>
      <c r="I617" s="60" t="s">
        <v>28</v>
      </c>
      <c r="J617" s="65"/>
      <c r="K617" s="65"/>
      <c r="L617" s="87"/>
      <c r="M617" s="326"/>
      <c r="N617" s="87">
        <v>273770</v>
      </c>
      <c r="O617" s="77"/>
      <c r="P617" s="70"/>
      <c r="Q617" s="70"/>
      <c r="R617" s="70"/>
      <c r="S617" s="70"/>
      <c r="T617" s="70"/>
      <c r="U617" s="70"/>
      <c r="V617" s="70"/>
      <c r="W617" s="70"/>
      <c r="X617" s="371">
        <f>SUM(L621:W621)</f>
        <v>1253770</v>
      </c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.75" customHeight="1">
      <c r="A618" s="353"/>
      <c r="B618" s="374"/>
      <c r="C618" s="357"/>
      <c r="D618" s="357"/>
      <c r="E618" s="362"/>
      <c r="F618" s="367"/>
      <c r="G618" s="356"/>
      <c r="H618" s="90"/>
      <c r="I618" s="60" t="s">
        <v>31</v>
      </c>
      <c r="J618" s="65"/>
      <c r="K618" s="65"/>
      <c r="L618" s="70"/>
      <c r="M618" s="71"/>
      <c r="N618" s="71"/>
      <c r="O618" s="70"/>
      <c r="P618" s="70"/>
      <c r="Q618" s="70"/>
      <c r="R618" s="70"/>
      <c r="S618" s="70"/>
      <c r="T618" s="70"/>
      <c r="U618" s="70"/>
      <c r="V618" s="70"/>
      <c r="W618" s="70"/>
      <c r="X618" s="371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53"/>
      <c r="B619" s="374"/>
      <c r="C619" s="357"/>
      <c r="D619" s="357"/>
      <c r="E619" s="362"/>
      <c r="F619" s="367"/>
      <c r="G619" s="356"/>
      <c r="H619" s="90"/>
      <c r="I619" s="60" t="s">
        <v>30</v>
      </c>
      <c r="J619" s="65"/>
      <c r="K619" s="65"/>
      <c r="L619" s="71"/>
      <c r="M619" s="71"/>
      <c r="N619" s="71"/>
      <c r="O619" s="70"/>
      <c r="P619" s="70"/>
      <c r="Q619" s="70"/>
      <c r="R619" s="70"/>
      <c r="S619" s="70"/>
      <c r="T619" s="70"/>
      <c r="U619" s="70"/>
      <c r="V619" s="70"/>
      <c r="W619" s="70"/>
      <c r="X619" s="371"/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.75" customHeight="1">
      <c r="A620" s="353"/>
      <c r="B620" s="374"/>
      <c r="C620" s="357"/>
      <c r="D620" s="357"/>
      <c r="E620" s="362"/>
      <c r="F620" s="367"/>
      <c r="G620" s="356"/>
      <c r="H620" s="90">
        <v>6370</v>
      </c>
      <c r="I620" s="61" t="s">
        <v>190</v>
      </c>
      <c r="J620" s="62"/>
      <c r="K620" s="62"/>
      <c r="L620" s="71">
        <v>0</v>
      </c>
      <c r="M620" s="326"/>
      <c r="N620" s="87">
        <v>980000</v>
      </c>
      <c r="O620" s="70"/>
      <c r="P620" s="70"/>
      <c r="Q620" s="70"/>
      <c r="R620" s="70"/>
      <c r="S620" s="70"/>
      <c r="T620" s="70"/>
      <c r="U620" s="70"/>
      <c r="V620" s="70"/>
      <c r="W620" s="70"/>
      <c r="X620" s="371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" customHeight="1">
      <c r="A621" s="353"/>
      <c r="B621" s="374"/>
      <c r="C621" s="357"/>
      <c r="D621" s="357"/>
      <c r="E621" s="362"/>
      <c r="F621" s="367"/>
      <c r="G621" s="356"/>
      <c r="H621" s="90"/>
      <c r="I621" s="72" t="s">
        <v>26</v>
      </c>
      <c r="J621" s="65"/>
      <c r="K621" s="65"/>
      <c r="L621" s="66">
        <f>SUM(L617:L620)</f>
        <v>0</v>
      </c>
      <c r="M621" s="66">
        <f>SUM(M617:M620)</f>
        <v>0</v>
      </c>
      <c r="N621" s="65">
        <f>SUM(N617:N620)</f>
        <v>1253770</v>
      </c>
      <c r="O621" s="66">
        <f>SUM(O617:O620)</f>
        <v>0</v>
      </c>
      <c r="P621" s="66">
        <f>SUM(P617:P620)</f>
        <v>0</v>
      </c>
      <c r="Q621" s="66"/>
      <c r="R621" s="66"/>
      <c r="S621" s="66"/>
      <c r="T621" s="66"/>
      <c r="U621" s="66"/>
      <c r="V621" s="66"/>
      <c r="W621" s="66"/>
      <c r="X621" s="371"/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53">
        <v>46</v>
      </c>
      <c r="B622" s="389" t="s">
        <v>238</v>
      </c>
      <c r="C622" s="357">
        <v>2020</v>
      </c>
      <c r="D622" s="357">
        <v>2030</v>
      </c>
      <c r="E622" s="362" t="s">
        <v>260</v>
      </c>
      <c r="F622" s="367">
        <f>7543278+X622</f>
        <v>8843278</v>
      </c>
      <c r="G622" s="356">
        <v>75023</v>
      </c>
      <c r="H622" s="90">
        <v>6050</v>
      </c>
      <c r="I622" s="60" t="s">
        <v>28</v>
      </c>
      <c r="J622" s="65"/>
      <c r="K622" s="65"/>
      <c r="L622" s="87"/>
      <c r="M622" s="87"/>
      <c r="N622" s="87"/>
      <c r="O622" s="77"/>
      <c r="R622" s="87">
        <v>800000</v>
      </c>
      <c r="S622" s="87">
        <v>500000</v>
      </c>
      <c r="T622" s="71"/>
      <c r="U622" s="70"/>
      <c r="V622" s="70"/>
      <c r="W622" s="70"/>
      <c r="X622" s="371">
        <f>SUM(L626:W626)</f>
        <v>1300000</v>
      </c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.75" customHeight="1">
      <c r="A623" s="353"/>
      <c r="B623" s="389"/>
      <c r="C623" s="357"/>
      <c r="D623" s="357"/>
      <c r="E623" s="362"/>
      <c r="F623" s="367"/>
      <c r="G623" s="356"/>
      <c r="H623" s="90"/>
      <c r="I623" s="60" t="s">
        <v>173</v>
      </c>
      <c r="J623" s="65"/>
      <c r="K623" s="65"/>
      <c r="L623" s="87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371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2.75" customHeight="1">
      <c r="A624" s="353"/>
      <c r="B624" s="389"/>
      <c r="C624" s="357"/>
      <c r="D624" s="357"/>
      <c r="E624" s="362"/>
      <c r="F624" s="367"/>
      <c r="G624" s="356"/>
      <c r="H624" s="90"/>
      <c r="I624" s="60" t="s">
        <v>30</v>
      </c>
      <c r="J624" s="65"/>
      <c r="K624" s="65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371"/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2.75" customHeight="1">
      <c r="A625" s="353"/>
      <c r="B625" s="389"/>
      <c r="C625" s="357"/>
      <c r="D625" s="357"/>
      <c r="E625" s="362"/>
      <c r="F625" s="367"/>
      <c r="G625" s="356"/>
      <c r="H625" s="90"/>
      <c r="I625" s="60" t="s">
        <v>33</v>
      </c>
      <c r="J625" s="65"/>
      <c r="K625" s="65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371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12" customHeight="1">
      <c r="A626" s="353"/>
      <c r="B626" s="389"/>
      <c r="C626" s="357"/>
      <c r="D626" s="357"/>
      <c r="E626" s="362"/>
      <c r="F626" s="367"/>
      <c r="G626" s="356"/>
      <c r="H626" s="90"/>
      <c r="I626" s="72" t="s">
        <v>26</v>
      </c>
      <c r="J626" s="65"/>
      <c r="K626" s="65"/>
      <c r="L626" s="66">
        <f>SUM(L622:L625)</f>
        <v>0</v>
      </c>
      <c r="M626" s="66">
        <f>SUM(M622:M625)</f>
        <v>0</v>
      </c>
      <c r="N626" s="65">
        <f t="shared" ref="N626:S626" si="189">SUM(N622:N625)</f>
        <v>0</v>
      </c>
      <c r="O626" s="66">
        <f t="shared" si="189"/>
        <v>0</v>
      </c>
      <c r="P626" s="66">
        <f t="shared" si="189"/>
        <v>0</v>
      </c>
      <c r="Q626" s="66">
        <f t="shared" si="189"/>
        <v>0</v>
      </c>
      <c r="R626" s="66">
        <f t="shared" si="189"/>
        <v>800000</v>
      </c>
      <c r="S626" s="66">
        <f t="shared" si="189"/>
        <v>500000</v>
      </c>
      <c r="T626" s="66"/>
      <c r="U626" s="66"/>
      <c r="V626" s="66"/>
      <c r="W626" s="66"/>
      <c r="X626" s="371"/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2" customHeight="1">
      <c r="A627" s="353">
        <v>47</v>
      </c>
      <c r="B627" s="374" t="s">
        <v>253</v>
      </c>
      <c r="C627" s="357">
        <v>2024</v>
      </c>
      <c r="D627" s="357">
        <v>2026</v>
      </c>
      <c r="E627" s="362" t="s">
        <v>260</v>
      </c>
      <c r="F627" s="560">
        <f>X627</f>
        <v>0</v>
      </c>
      <c r="G627" s="356">
        <v>75495</v>
      </c>
      <c r="H627" s="90">
        <v>6050</v>
      </c>
      <c r="I627" s="61" t="s">
        <v>28</v>
      </c>
      <c r="J627" s="62"/>
      <c r="K627" s="62"/>
      <c r="L627" s="87">
        <v>0</v>
      </c>
      <c r="M627" s="87"/>
      <c r="N627" s="326">
        <v>0</v>
      </c>
      <c r="O627" s="326">
        <v>0</v>
      </c>
      <c r="P627" s="71"/>
      <c r="Q627" s="71"/>
      <c r="R627" s="87">
        <v>0</v>
      </c>
      <c r="S627" s="71"/>
      <c r="T627" s="71"/>
      <c r="U627" s="71"/>
      <c r="V627" s="71"/>
      <c r="W627" s="71"/>
      <c r="X627" s="434">
        <f>SUM(L631:W631)</f>
        <v>0</v>
      </c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15.75" customHeight="1">
      <c r="A628" s="353"/>
      <c r="B628" s="374"/>
      <c r="C628" s="357"/>
      <c r="D628" s="357"/>
      <c r="E628" s="362"/>
      <c r="F628" s="560"/>
      <c r="G628" s="356"/>
      <c r="H628" s="90"/>
      <c r="I628" s="61" t="s">
        <v>31</v>
      </c>
      <c r="J628" s="62"/>
      <c r="K628" s="62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434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8.25" customHeight="1">
      <c r="A629" s="353"/>
      <c r="B629" s="374"/>
      <c r="C629" s="357"/>
      <c r="D629" s="357"/>
      <c r="E629" s="362"/>
      <c r="F629" s="560"/>
      <c r="G629" s="356"/>
      <c r="H629" s="90"/>
      <c r="I629" s="61" t="s">
        <v>30</v>
      </c>
      <c r="J629" s="62"/>
      <c r="K629" s="62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434"/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customHeight="1">
      <c r="A630" s="353"/>
      <c r="B630" s="374"/>
      <c r="C630" s="357"/>
      <c r="D630" s="357"/>
      <c r="E630" s="362"/>
      <c r="F630" s="560"/>
      <c r="G630" s="356"/>
      <c r="H630" s="90"/>
      <c r="I630" s="61" t="s">
        <v>33</v>
      </c>
      <c r="J630" s="62"/>
      <c r="K630" s="62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434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353"/>
      <c r="B631" s="374"/>
      <c r="C631" s="357"/>
      <c r="D631" s="357"/>
      <c r="E631" s="362"/>
      <c r="F631" s="560"/>
      <c r="G631" s="356"/>
      <c r="H631" s="90"/>
      <c r="I631" s="64" t="s">
        <v>26</v>
      </c>
      <c r="J631" s="65"/>
      <c r="K631" s="65"/>
      <c r="L631" s="65">
        <f>SUM(L627:L630)</f>
        <v>0</v>
      </c>
      <c r="M631" s="65">
        <f>SUM(M627:M630)</f>
        <v>0</v>
      </c>
      <c r="N631" s="65">
        <f t="shared" ref="N631:W631" si="190">SUM(N627:N630)</f>
        <v>0</v>
      </c>
      <c r="O631" s="65">
        <f t="shared" si="190"/>
        <v>0</v>
      </c>
      <c r="P631" s="65">
        <f t="shared" si="190"/>
        <v>0</v>
      </c>
      <c r="Q631" s="65">
        <f t="shared" si="190"/>
        <v>0</v>
      </c>
      <c r="R631" s="65">
        <f t="shared" si="190"/>
        <v>0</v>
      </c>
      <c r="S631" s="65">
        <f t="shared" si="190"/>
        <v>0</v>
      </c>
      <c r="T631" s="65">
        <f t="shared" si="190"/>
        <v>0</v>
      </c>
      <c r="U631" s="65">
        <f t="shared" si="190"/>
        <v>0</v>
      </c>
      <c r="V631" s="65">
        <f t="shared" si="190"/>
        <v>0</v>
      </c>
      <c r="W631" s="65">
        <f t="shared" si="190"/>
        <v>0</v>
      </c>
      <c r="X631" s="434"/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353">
        <v>48</v>
      </c>
      <c r="B632" s="374" t="s">
        <v>223</v>
      </c>
      <c r="C632" s="384">
        <v>2019</v>
      </c>
      <c r="D632" s="357">
        <v>2027</v>
      </c>
      <c r="E632" s="362" t="s">
        <v>260</v>
      </c>
      <c r="F632" s="367">
        <f>44273+X632+2200</f>
        <v>1161473</v>
      </c>
      <c r="G632" s="356">
        <v>90026</v>
      </c>
      <c r="H632" s="89">
        <v>6050</v>
      </c>
      <c r="I632" s="60" t="s">
        <v>28</v>
      </c>
      <c r="J632" s="65"/>
      <c r="K632" s="65"/>
      <c r="L632" s="87">
        <v>0</v>
      </c>
      <c r="M632" s="87"/>
      <c r="N632" s="87">
        <v>15000</v>
      </c>
      <c r="O632" s="87">
        <v>550000</v>
      </c>
      <c r="P632" s="71">
        <v>550000</v>
      </c>
      <c r="Q632" s="70"/>
      <c r="R632" s="87"/>
      <c r="S632" s="70"/>
      <c r="T632" s="70"/>
      <c r="U632" s="70"/>
      <c r="V632" s="70"/>
      <c r="W632" s="70"/>
      <c r="X632" s="371">
        <f>SUM(L636:W636)</f>
        <v>1115000</v>
      </c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353"/>
      <c r="B633" s="374"/>
      <c r="C633" s="384"/>
      <c r="D633" s="357"/>
      <c r="E633" s="362"/>
      <c r="F633" s="367"/>
      <c r="G633" s="356"/>
      <c r="H633" s="89"/>
      <c r="I633" s="60" t="s">
        <v>31</v>
      </c>
      <c r="J633" s="65"/>
      <c r="K633" s="65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371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" customHeight="1">
      <c r="A634" s="353"/>
      <c r="B634" s="374"/>
      <c r="C634" s="384"/>
      <c r="D634" s="357"/>
      <c r="E634" s="362"/>
      <c r="F634" s="367"/>
      <c r="G634" s="356"/>
      <c r="H634" s="89"/>
      <c r="I634" s="60" t="s">
        <v>30</v>
      </c>
      <c r="J634" s="65"/>
      <c r="K634" s="65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371"/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" customHeight="1">
      <c r="A635" s="353"/>
      <c r="B635" s="374"/>
      <c r="C635" s="384"/>
      <c r="D635" s="357"/>
      <c r="E635" s="362"/>
      <c r="F635" s="367"/>
      <c r="G635" s="356"/>
      <c r="H635" s="89"/>
      <c r="I635" s="60" t="s">
        <v>33</v>
      </c>
      <c r="J635" s="65"/>
      <c r="K635" s="65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371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" customHeight="1">
      <c r="A636" s="353"/>
      <c r="B636" s="374"/>
      <c r="C636" s="384"/>
      <c r="D636" s="357"/>
      <c r="E636" s="362"/>
      <c r="F636" s="367"/>
      <c r="G636" s="356"/>
      <c r="H636" s="89"/>
      <c r="I636" s="72" t="s">
        <v>26</v>
      </c>
      <c r="J636" s="65"/>
      <c r="K636" s="65"/>
      <c r="L636" s="65">
        <f>SUM(L632:L635)</f>
        <v>0</v>
      </c>
      <c r="M636" s="66">
        <f>SUM(M632:M635)</f>
        <v>0</v>
      </c>
      <c r="N636" s="65">
        <f t="shared" ref="N636:W636" si="191">SUM(N632:N635)</f>
        <v>15000</v>
      </c>
      <c r="O636" s="66">
        <f t="shared" si="191"/>
        <v>550000</v>
      </c>
      <c r="P636" s="66">
        <f t="shared" si="191"/>
        <v>550000</v>
      </c>
      <c r="Q636" s="66">
        <f t="shared" si="191"/>
        <v>0</v>
      </c>
      <c r="R636" s="66">
        <f t="shared" si="191"/>
        <v>0</v>
      </c>
      <c r="S636" s="66">
        <f t="shared" si="191"/>
        <v>0</v>
      </c>
      <c r="T636" s="66">
        <f t="shared" si="191"/>
        <v>0</v>
      </c>
      <c r="U636" s="66">
        <f t="shared" si="191"/>
        <v>0</v>
      </c>
      <c r="V636" s="66">
        <f t="shared" si="191"/>
        <v>0</v>
      </c>
      <c r="W636" s="66">
        <f t="shared" si="191"/>
        <v>0</v>
      </c>
      <c r="X636" s="371"/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customHeight="1">
      <c r="A637" s="421">
        <v>49</v>
      </c>
      <c r="B637" s="529" t="s">
        <v>262</v>
      </c>
      <c r="C637" s="430">
        <v>2025</v>
      </c>
      <c r="D637" s="357">
        <v>2026</v>
      </c>
      <c r="E637" s="362" t="s">
        <v>260</v>
      </c>
      <c r="F637" s="367">
        <f>X637</f>
        <v>70000</v>
      </c>
      <c r="G637" s="427">
        <v>80101</v>
      </c>
      <c r="H637" s="90">
        <v>6050</v>
      </c>
      <c r="I637" s="61" t="s">
        <v>28</v>
      </c>
      <c r="J637" s="62"/>
      <c r="K637" s="62"/>
      <c r="L637" s="87"/>
      <c r="M637" s="87"/>
      <c r="N637" s="87">
        <v>1000</v>
      </c>
      <c r="O637" s="87">
        <v>69000</v>
      </c>
      <c r="P637" s="71"/>
      <c r="Q637" s="71"/>
      <c r="R637" s="71"/>
      <c r="S637" s="71"/>
      <c r="T637" s="71"/>
      <c r="U637" s="71"/>
      <c r="V637" s="71"/>
      <c r="W637" s="71"/>
      <c r="X637" s="371">
        <f>SUM(L641:P641)</f>
        <v>70000</v>
      </c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2.75" customHeight="1">
      <c r="A638" s="422"/>
      <c r="B638" s="530"/>
      <c r="C638" s="431"/>
      <c r="D638" s="357"/>
      <c r="E638" s="362"/>
      <c r="F638" s="367"/>
      <c r="G638" s="428"/>
      <c r="H638" s="90"/>
      <c r="I638" s="61" t="s">
        <v>28</v>
      </c>
      <c r="J638" s="62"/>
      <c r="K638" s="62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371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2.75" customHeight="1">
      <c r="A639" s="422"/>
      <c r="B639" s="530"/>
      <c r="C639" s="431"/>
      <c r="D639" s="357"/>
      <c r="E639" s="362"/>
      <c r="F639" s="367"/>
      <c r="G639" s="428"/>
      <c r="H639" s="90"/>
      <c r="I639" s="61" t="s">
        <v>30</v>
      </c>
      <c r="J639" s="62"/>
      <c r="K639" s="62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371"/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2.75" customHeight="1">
      <c r="A640" s="422"/>
      <c r="B640" s="530"/>
      <c r="C640" s="431"/>
      <c r="D640" s="357"/>
      <c r="E640" s="362"/>
      <c r="F640" s="367"/>
      <c r="G640" s="428"/>
      <c r="H640" s="90"/>
      <c r="I640" s="61" t="s">
        <v>33</v>
      </c>
      <c r="J640" s="62"/>
      <c r="K640" s="62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371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1.25" customHeight="1">
      <c r="A641" s="423"/>
      <c r="B641" s="531"/>
      <c r="C641" s="432"/>
      <c r="D641" s="357"/>
      <c r="E641" s="362"/>
      <c r="F641" s="367"/>
      <c r="G641" s="429"/>
      <c r="H641" s="90"/>
      <c r="I641" s="64" t="s">
        <v>26</v>
      </c>
      <c r="J641" s="65"/>
      <c r="K641" s="65"/>
      <c r="L641" s="65">
        <f>SUM(L637:L640)</f>
        <v>0</v>
      </c>
      <c r="M641" s="65">
        <f>SUM(M637:M640)</f>
        <v>0</v>
      </c>
      <c r="N641" s="65">
        <f t="shared" ref="N641:P641" si="192">SUM(N637:N640)</f>
        <v>1000</v>
      </c>
      <c r="O641" s="65">
        <f t="shared" si="192"/>
        <v>69000</v>
      </c>
      <c r="P641" s="65">
        <f t="shared" si="192"/>
        <v>0</v>
      </c>
      <c r="Q641" s="65"/>
      <c r="R641" s="65"/>
      <c r="S641" s="65"/>
      <c r="T641" s="65"/>
      <c r="U641" s="65"/>
      <c r="V641" s="65"/>
      <c r="W641" s="65"/>
      <c r="X641" s="371"/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6.5" hidden="1" customHeight="1">
      <c r="A642" s="421">
        <v>53</v>
      </c>
      <c r="B642" s="529" t="s">
        <v>177</v>
      </c>
      <c r="C642" s="430">
        <v>2020</v>
      </c>
      <c r="D642" s="357">
        <v>2024</v>
      </c>
      <c r="E642" s="362" t="s">
        <v>260</v>
      </c>
      <c r="F642" s="367">
        <f>X642</f>
        <v>0</v>
      </c>
      <c r="G642" s="427">
        <v>80101</v>
      </c>
      <c r="H642" s="90">
        <v>6050</v>
      </c>
      <c r="I642" s="61" t="s">
        <v>133</v>
      </c>
      <c r="J642" s="62"/>
      <c r="K642" s="62"/>
      <c r="L642" s="87"/>
      <c r="M642" s="87"/>
      <c r="N642" s="87"/>
      <c r="O642" s="87"/>
      <c r="P642" s="71"/>
      <c r="Q642" s="71"/>
      <c r="R642" s="71"/>
      <c r="S642" s="71"/>
      <c r="T642" s="71"/>
      <c r="U642" s="71"/>
      <c r="V642" s="71"/>
      <c r="W642" s="71"/>
      <c r="X642" s="371">
        <f>SUM(L646:P646)</f>
        <v>0</v>
      </c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422"/>
      <c r="B643" s="530"/>
      <c r="C643" s="431"/>
      <c r="D643" s="357"/>
      <c r="E643" s="362"/>
      <c r="F643" s="367"/>
      <c r="G643" s="428"/>
      <c r="H643" s="90"/>
      <c r="I643" s="61" t="s">
        <v>28</v>
      </c>
      <c r="J643" s="62"/>
      <c r="K643" s="62"/>
      <c r="L643" s="87"/>
      <c r="M643" s="87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371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2" hidden="1" customHeight="1">
      <c r="A644" s="422"/>
      <c r="B644" s="530"/>
      <c r="C644" s="431"/>
      <c r="D644" s="357"/>
      <c r="E644" s="362"/>
      <c r="F644" s="367"/>
      <c r="G644" s="428"/>
      <c r="H644" s="90"/>
      <c r="I644" s="61" t="s">
        <v>31</v>
      </c>
      <c r="J644" s="62"/>
      <c r="K644" s="62"/>
      <c r="L644" s="87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371"/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2" hidden="1" customHeight="1">
      <c r="A645" s="422"/>
      <c r="B645" s="530"/>
      <c r="C645" s="431"/>
      <c r="D645" s="357"/>
      <c r="E645" s="362"/>
      <c r="F645" s="367"/>
      <c r="G645" s="428"/>
      <c r="H645" s="90"/>
      <c r="I645" s="61" t="s">
        <v>132</v>
      </c>
      <c r="J645" s="62"/>
      <c r="K645" s="62"/>
      <c r="L645" s="87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371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2" hidden="1" customHeight="1">
      <c r="A646" s="423"/>
      <c r="B646" s="531"/>
      <c r="C646" s="432"/>
      <c r="D646" s="357"/>
      <c r="E646" s="362"/>
      <c r="F646" s="367"/>
      <c r="G646" s="429"/>
      <c r="H646" s="90"/>
      <c r="I646" s="64" t="s">
        <v>26</v>
      </c>
      <c r="J646" s="65"/>
      <c r="K646" s="65"/>
      <c r="L646" s="65">
        <f>SUM(L642:L645)</f>
        <v>0</v>
      </c>
      <c r="M646" s="65">
        <f>SUM(M642:M645)</f>
        <v>0</v>
      </c>
      <c r="N646" s="65">
        <f t="shared" ref="N646:P646" si="193">SUM(N642:N645)</f>
        <v>0</v>
      </c>
      <c r="O646" s="65">
        <f t="shared" si="193"/>
        <v>0</v>
      </c>
      <c r="P646" s="65">
        <f t="shared" si="193"/>
        <v>0</v>
      </c>
      <c r="Q646" s="65"/>
      <c r="R646" s="65"/>
      <c r="S646" s="65"/>
      <c r="T646" s="65"/>
      <c r="U646" s="65"/>
      <c r="V646" s="65"/>
      <c r="W646" s="65"/>
      <c r="X646" s="371"/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421">
        <v>50</v>
      </c>
      <c r="B647" s="529" t="s">
        <v>228</v>
      </c>
      <c r="C647" s="430">
        <v>2023</v>
      </c>
      <c r="D647" s="357">
        <v>2025</v>
      </c>
      <c r="E647" s="362" t="s">
        <v>260</v>
      </c>
      <c r="F647" s="400">
        <f>80000+X647+1379078</f>
        <v>3824078</v>
      </c>
      <c r="G647" s="427">
        <v>80101</v>
      </c>
      <c r="H647" s="302">
        <v>6050</v>
      </c>
      <c r="I647" s="61" t="s">
        <v>28</v>
      </c>
      <c r="J647" s="62"/>
      <c r="K647" s="62"/>
      <c r="L647" s="87"/>
      <c r="M647" s="324"/>
      <c r="N647" s="164">
        <v>510000</v>
      </c>
      <c r="O647" s="87"/>
      <c r="P647" s="71"/>
      <c r="Q647" s="71"/>
      <c r="R647" s="71"/>
      <c r="S647" s="71"/>
      <c r="T647" s="71"/>
      <c r="U647" s="71"/>
      <c r="V647" s="71"/>
      <c r="W647" s="71"/>
      <c r="X647" s="420">
        <f>SUM(L651:W651)</f>
        <v>2365000</v>
      </c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3.5" customHeight="1">
      <c r="A648" s="422"/>
      <c r="B648" s="530"/>
      <c r="C648" s="431"/>
      <c r="D648" s="357"/>
      <c r="E648" s="362"/>
      <c r="F648" s="400"/>
      <c r="G648" s="428"/>
      <c r="H648" s="303">
        <v>6370</v>
      </c>
      <c r="I648" s="61" t="s">
        <v>235</v>
      </c>
      <c r="J648" s="62"/>
      <c r="K648" s="62"/>
      <c r="L648" s="71"/>
      <c r="M648" s="164"/>
      <c r="N648" s="164">
        <v>1855000</v>
      </c>
      <c r="O648" s="71"/>
      <c r="P648" s="71"/>
      <c r="Q648" s="71"/>
      <c r="R648" s="71"/>
      <c r="S648" s="71"/>
      <c r="T648" s="71"/>
      <c r="U648" s="71"/>
      <c r="V648" s="71"/>
      <c r="W648" s="71"/>
      <c r="X648" s="420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3.5" customHeight="1">
      <c r="A649" s="422"/>
      <c r="B649" s="530"/>
      <c r="C649" s="431"/>
      <c r="D649" s="357"/>
      <c r="E649" s="362"/>
      <c r="F649" s="400"/>
      <c r="G649" s="428"/>
      <c r="H649" s="303"/>
      <c r="I649" s="61" t="s">
        <v>30</v>
      </c>
      <c r="J649" s="62"/>
      <c r="K649" s="62"/>
      <c r="L649" s="71"/>
      <c r="M649" s="169"/>
      <c r="N649" s="169"/>
      <c r="O649" s="71"/>
      <c r="P649" s="71"/>
      <c r="Q649" s="71"/>
      <c r="R649" s="71"/>
      <c r="S649" s="71"/>
      <c r="T649" s="71"/>
      <c r="U649" s="71"/>
      <c r="V649" s="71"/>
      <c r="W649" s="71"/>
      <c r="X649" s="420"/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3.5" customHeight="1">
      <c r="A650" s="422"/>
      <c r="B650" s="530"/>
      <c r="C650" s="431"/>
      <c r="D650" s="357"/>
      <c r="E650" s="362"/>
      <c r="F650" s="400"/>
      <c r="G650" s="428"/>
      <c r="H650" s="303"/>
      <c r="I650" s="61" t="s">
        <v>134</v>
      </c>
      <c r="J650" s="62"/>
      <c r="K650" s="62"/>
      <c r="L650" s="87"/>
      <c r="M650" s="169"/>
      <c r="N650" s="169"/>
      <c r="O650" s="71"/>
      <c r="P650" s="71"/>
      <c r="Q650" s="71"/>
      <c r="R650" s="71"/>
      <c r="S650" s="71"/>
      <c r="T650" s="71"/>
      <c r="U650" s="71"/>
      <c r="V650" s="71"/>
      <c r="W650" s="71"/>
      <c r="X650" s="420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2.75" customHeight="1">
      <c r="A651" s="423"/>
      <c r="B651" s="531"/>
      <c r="C651" s="432"/>
      <c r="D651" s="357"/>
      <c r="E651" s="362"/>
      <c r="F651" s="400"/>
      <c r="G651" s="429"/>
      <c r="H651" s="304"/>
      <c r="I651" s="296" t="s">
        <v>26</v>
      </c>
      <c r="J651" s="297"/>
      <c r="K651" s="297"/>
      <c r="L651" s="297">
        <f>SUM(L647:L650)</f>
        <v>0</v>
      </c>
      <c r="M651" s="217">
        <f>SUM(M647:M650)</f>
        <v>0</v>
      </c>
      <c r="N651" s="217">
        <f t="shared" ref="N651:P651" si="194">SUM(N647:N650)</f>
        <v>2365000</v>
      </c>
      <c r="O651" s="297">
        <f t="shared" si="194"/>
        <v>0</v>
      </c>
      <c r="P651" s="297">
        <f t="shared" si="194"/>
        <v>0</v>
      </c>
      <c r="Q651" s="297"/>
      <c r="R651" s="297"/>
      <c r="S651" s="297"/>
      <c r="T651" s="297"/>
      <c r="U651" s="297"/>
      <c r="V651" s="297"/>
      <c r="W651" s="297"/>
      <c r="X651" s="420"/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6.5" hidden="1" customHeight="1">
      <c r="A652" s="397">
        <v>46</v>
      </c>
      <c r="B652" s="538" t="s">
        <v>117</v>
      </c>
      <c r="C652" s="430">
        <v>2021</v>
      </c>
      <c r="D652" s="357">
        <v>2023</v>
      </c>
      <c r="E652" s="362" t="s">
        <v>260</v>
      </c>
      <c r="F652" s="400">
        <f>X652</f>
        <v>0</v>
      </c>
      <c r="G652" s="427">
        <v>80195</v>
      </c>
      <c r="H652" s="427">
        <v>6050</v>
      </c>
      <c r="I652" s="61" t="s">
        <v>28</v>
      </c>
      <c r="J652" s="62"/>
      <c r="K652" s="62"/>
      <c r="L652" s="87"/>
      <c r="M652" s="87"/>
      <c r="N652" s="87"/>
      <c r="O652" s="87"/>
      <c r="P652" s="71"/>
      <c r="Q652" s="71"/>
      <c r="R652" s="71"/>
      <c r="S652" s="71"/>
      <c r="T652" s="71"/>
      <c r="U652" s="71"/>
      <c r="V652" s="71"/>
      <c r="W652" s="71"/>
      <c r="X652" s="420">
        <f>SUM(L656:P656)</f>
        <v>0</v>
      </c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13.5" hidden="1" customHeight="1">
      <c r="A653" s="398"/>
      <c r="B653" s="539"/>
      <c r="C653" s="431"/>
      <c r="D653" s="357"/>
      <c r="E653" s="362"/>
      <c r="F653" s="400"/>
      <c r="G653" s="428"/>
      <c r="H653" s="428"/>
      <c r="I653" s="61" t="s">
        <v>31</v>
      </c>
      <c r="J653" s="62"/>
      <c r="K653" s="62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420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3.5" hidden="1" customHeight="1">
      <c r="A654" s="398"/>
      <c r="B654" s="539"/>
      <c r="C654" s="431"/>
      <c r="D654" s="357"/>
      <c r="E654" s="362"/>
      <c r="F654" s="400"/>
      <c r="G654" s="428"/>
      <c r="H654" s="428"/>
      <c r="I654" s="61" t="s">
        <v>30</v>
      </c>
      <c r="J654" s="62"/>
      <c r="K654" s="62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420"/>
      <c r="Y654" s="40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13.5" hidden="1" customHeight="1">
      <c r="A655" s="398"/>
      <c r="B655" s="539"/>
      <c r="C655" s="431"/>
      <c r="D655" s="357"/>
      <c r="E655" s="362"/>
      <c r="F655" s="400"/>
      <c r="G655" s="428"/>
      <c r="H655" s="428"/>
      <c r="I655" s="61" t="s">
        <v>134</v>
      </c>
      <c r="J655" s="62"/>
      <c r="K655" s="62"/>
      <c r="L655" s="87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420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2.25" hidden="1" customHeight="1">
      <c r="A656" s="399"/>
      <c r="B656" s="540"/>
      <c r="C656" s="432"/>
      <c r="D656" s="357"/>
      <c r="E656" s="362"/>
      <c r="F656" s="400"/>
      <c r="G656" s="429"/>
      <c r="H656" s="429"/>
      <c r="I656" s="64" t="s">
        <v>26</v>
      </c>
      <c r="J656" s="65"/>
      <c r="K656" s="65"/>
      <c r="L656" s="65">
        <f>SUM(L652:L655)</f>
        <v>0</v>
      </c>
      <c r="M656" s="65">
        <f>SUM(M652:M655)</f>
        <v>0</v>
      </c>
      <c r="N656" s="65">
        <f t="shared" ref="N656:P656" si="195">SUM(N652:N655)</f>
        <v>0</v>
      </c>
      <c r="O656" s="65">
        <f t="shared" si="195"/>
        <v>0</v>
      </c>
      <c r="P656" s="65">
        <f t="shared" si="195"/>
        <v>0</v>
      </c>
      <c r="Q656" s="65"/>
      <c r="R656" s="65"/>
      <c r="S656" s="65"/>
      <c r="T656" s="65"/>
      <c r="U656" s="65"/>
      <c r="V656" s="65"/>
      <c r="W656" s="65"/>
      <c r="X656" s="420"/>
      <c r="Y656" s="40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53">
        <v>51</v>
      </c>
      <c r="B657" s="373" t="s">
        <v>63</v>
      </c>
      <c r="C657" s="438">
        <v>2017</v>
      </c>
      <c r="D657" s="375">
        <v>2034</v>
      </c>
      <c r="E657" s="362" t="s">
        <v>260</v>
      </c>
      <c r="F657" s="442">
        <f>X657+1243191+79574</f>
        <v>3072765</v>
      </c>
      <c r="G657" s="377">
        <v>90015</v>
      </c>
      <c r="H657" s="154">
        <v>6050</v>
      </c>
      <c r="I657" s="163" t="s">
        <v>28</v>
      </c>
      <c r="J657" s="164">
        <v>227100</v>
      </c>
      <c r="K657" s="164">
        <v>100518</v>
      </c>
      <c r="L657" s="164"/>
      <c r="M657" s="164"/>
      <c r="N657" s="164">
        <v>200000</v>
      </c>
      <c r="O657" s="164">
        <v>170000</v>
      </c>
      <c r="P657" s="164">
        <v>170000</v>
      </c>
      <c r="Q657" s="164">
        <v>170000</v>
      </c>
      <c r="R657" s="164">
        <v>120000</v>
      </c>
      <c r="S657" s="164">
        <v>220000</v>
      </c>
      <c r="T657" s="164">
        <v>0</v>
      </c>
      <c r="U657" s="164">
        <v>360000</v>
      </c>
      <c r="V657" s="164">
        <v>170000</v>
      </c>
      <c r="W657" s="164">
        <v>170000</v>
      </c>
      <c r="X657" s="436">
        <f>SUM(L661:W661)</f>
        <v>1750000</v>
      </c>
      <c r="Y657" s="141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2" customHeight="1">
      <c r="A658" s="353"/>
      <c r="B658" s="373"/>
      <c r="C658" s="438"/>
      <c r="D658" s="375"/>
      <c r="E658" s="362"/>
      <c r="F658" s="442"/>
      <c r="G658" s="377"/>
      <c r="H658" s="154"/>
      <c r="I658" s="163" t="s">
        <v>31</v>
      </c>
      <c r="J658" s="156"/>
      <c r="K658" s="156"/>
      <c r="L658" s="158"/>
      <c r="M658" s="158"/>
      <c r="N658" s="158"/>
      <c r="O658" s="186"/>
      <c r="P658" s="186"/>
      <c r="Q658" s="186"/>
      <c r="R658" s="186"/>
      <c r="S658" s="186"/>
      <c r="T658" s="186"/>
      <c r="U658" s="186"/>
      <c r="V658" s="186"/>
      <c r="W658" s="186"/>
      <c r="X658" s="436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53"/>
      <c r="B659" s="373"/>
      <c r="C659" s="438"/>
      <c r="D659" s="375"/>
      <c r="E659" s="362"/>
      <c r="F659" s="442"/>
      <c r="G659" s="377"/>
      <c r="H659" s="154"/>
      <c r="I659" s="163" t="s">
        <v>30</v>
      </c>
      <c r="J659" s="156"/>
      <c r="K659" s="156"/>
      <c r="L659" s="158"/>
      <c r="M659" s="158"/>
      <c r="N659" s="158"/>
      <c r="O659" s="186"/>
      <c r="P659" s="186"/>
      <c r="Q659" s="186"/>
      <c r="R659" s="186"/>
      <c r="S659" s="186"/>
      <c r="T659" s="186"/>
      <c r="U659" s="186"/>
      <c r="V659" s="186"/>
      <c r="W659" s="186"/>
      <c r="X659" s="436"/>
      <c r="Y659" s="40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2" customHeight="1">
      <c r="A660" s="353"/>
      <c r="B660" s="373"/>
      <c r="C660" s="438"/>
      <c r="D660" s="375"/>
      <c r="E660" s="362"/>
      <c r="F660" s="442"/>
      <c r="G660" s="377"/>
      <c r="H660" s="154"/>
      <c r="I660" s="163" t="s">
        <v>33</v>
      </c>
      <c r="J660" s="158"/>
      <c r="K660" s="158"/>
      <c r="L660" s="158"/>
      <c r="M660" s="158"/>
      <c r="N660" s="158"/>
      <c r="O660" s="186"/>
      <c r="P660" s="186"/>
      <c r="Q660" s="186"/>
      <c r="R660" s="186"/>
      <c r="S660" s="186"/>
      <c r="T660" s="186"/>
      <c r="U660" s="186"/>
      <c r="V660" s="186"/>
      <c r="W660" s="186"/>
      <c r="X660" s="436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3.9" customHeight="1">
      <c r="A661" s="353"/>
      <c r="B661" s="373"/>
      <c r="C661" s="438"/>
      <c r="D661" s="375"/>
      <c r="E661" s="362"/>
      <c r="F661" s="442"/>
      <c r="G661" s="377"/>
      <c r="H661" s="154"/>
      <c r="I661" s="160" t="s">
        <v>26</v>
      </c>
      <c r="J661" s="161">
        <f t="shared" ref="J661:W661" si="196">SUM(J657:J660)</f>
        <v>227100</v>
      </c>
      <c r="K661" s="161">
        <f t="shared" si="196"/>
        <v>100518</v>
      </c>
      <c r="L661" s="161">
        <f t="shared" si="196"/>
        <v>0</v>
      </c>
      <c r="M661" s="161">
        <f t="shared" si="196"/>
        <v>0</v>
      </c>
      <c r="N661" s="161">
        <f t="shared" si="196"/>
        <v>200000</v>
      </c>
      <c r="O661" s="161">
        <f t="shared" si="196"/>
        <v>170000</v>
      </c>
      <c r="P661" s="161">
        <f t="shared" si="196"/>
        <v>170000</v>
      </c>
      <c r="Q661" s="161">
        <f t="shared" si="196"/>
        <v>170000</v>
      </c>
      <c r="R661" s="161">
        <f t="shared" si="196"/>
        <v>120000</v>
      </c>
      <c r="S661" s="161">
        <f t="shared" si="196"/>
        <v>220000</v>
      </c>
      <c r="T661" s="161">
        <f t="shared" si="196"/>
        <v>0</v>
      </c>
      <c r="U661" s="161">
        <f t="shared" si="196"/>
        <v>360000</v>
      </c>
      <c r="V661" s="161">
        <f t="shared" si="196"/>
        <v>170000</v>
      </c>
      <c r="W661" s="161">
        <f t="shared" si="196"/>
        <v>170000</v>
      </c>
      <c r="X661" s="436"/>
      <c r="Y661" s="40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53">
        <v>52</v>
      </c>
      <c r="B662" s="373" t="s">
        <v>64</v>
      </c>
      <c r="C662" s="384">
        <v>2015</v>
      </c>
      <c r="D662" s="384">
        <v>2033</v>
      </c>
      <c r="E662" s="362" t="s">
        <v>260</v>
      </c>
      <c r="F662" s="400">
        <f>61259+34652+X662+37800</f>
        <v>973711</v>
      </c>
      <c r="G662" s="356">
        <v>90015</v>
      </c>
      <c r="H662" s="90">
        <v>6060</v>
      </c>
      <c r="I662" s="61" t="s">
        <v>28</v>
      </c>
      <c r="J662" s="84">
        <v>39000</v>
      </c>
      <c r="K662" s="84">
        <v>6000</v>
      </c>
      <c r="L662" s="84"/>
      <c r="M662" s="84"/>
      <c r="N662" s="87">
        <v>20000</v>
      </c>
      <c r="O662" s="84">
        <v>100000</v>
      </c>
      <c r="P662" s="84">
        <v>90000</v>
      </c>
      <c r="Q662" s="84">
        <v>130000</v>
      </c>
      <c r="R662" s="84">
        <v>100000</v>
      </c>
      <c r="S662" s="84">
        <v>100000</v>
      </c>
      <c r="T662" s="84">
        <v>100000</v>
      </c>
      <c r="U662" s="84">
        <v>100000</v>
      </c>
      <c r="V662" s="84">
        <v>100000</v>
      </c>
      <c r="W662" s="84">
        <v>0</v>
      </c>
      <c r="X662" s="420">
        <f>SUM(L666:W666)</f>
        <v>840000</v>
      </c>
      <c r="Y662" s="141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2" customHeight="1">
      <c r="A663" s="353"/>
      <c r="B663" s="373"/>
      <c r="C663" s="384"/>
      <c r="D663" s="384"/>
      <c r="E663" s="362"/>
      <c r="F663" s="400"/>
      <c r="G663" s="356"/>
      <c r="H663" s="89"/>
      <c r="I663" s="60" t="s">
        <v>31</v>
      </c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420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customHeight="1">
      <c r="A664" s="353"/>
      <c r="B664" s="373"/>
      <c r="C664" s="384"/>
      <c r="D664" s="384"/>
      <c r="E664" s="362"/>
      <c r="F664" s="400"/>
      <c r="G664" s="356"/>
      <c r="H664" s="89"/>
      <c r="I664" s="60" t="s">
        <v>30</v>
      </c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420"/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2" customHeight="1">
      <c r="A665" s="353"/>
      <c r="B665" s="373"/>
      <c r="C665" s="384"/>
      <c r="D665" s="384"/>
      <c r="E665" s="362"/>
      <c r="F665" s="400"/>
      <c r="G665" s="356"/>
      <c r="H665" s="89"/>
      <c r="I665" s="60" t="s">
        <v>33</v>
      </c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420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3.9" customHeight="1">
      <c r="A666" s="353"/>
      <c r="B666" s="373"/>
      <c r="C666" s="384"/>
      <c r="D666" s="384"/>
      <c r="E666" s="362"/>
      <c r="F666" s="400"/>
      <c r="G666" s="356"/>
      <c r="H666" s="89"/>
      <c r="I666" s="64" t="s">
        <v>26</v>
      </c>
      <c r="J666" s="65">
        <f t="shared" ref="J666:W666" si="197">SUM(J662:J665)</f>
        <v>39000</v>
      </c>
      <c r="K666" s="65">
        <f t="shared" si="197"/>
        <v>6000</v>
      </c>
      <c r="L666" s="65">
        <f t="shared" si="197"/>
        <v>0</v>
      </c>
      <c r="M666" s="65">
        <f t="shared" si="197"/>
        <v>0</v>
      </c>
      <c r="N666" s="65">
        <f t="shared" si="197"/>
        <v>20000</v>
      </c>
      <c r="O666" s="65">
        <f t="shared" si="197"/>
        <v>100000</v>
      </c>
      <c r="P666" s="65">
        <f t="shared" si="197"/>
        <v>90000</v>
      </c>
      <c r="Q666" s="65">
        <f t="shared" si="197"/>
        <v>130000</v>
      </c>
      <c r="R666" s="65">
        <f t="shared" si="197"/>
        <v>100000</v>
      </c>
      <c r="S666" s="65">
        <f t="shared" si="197"/>
        <v>100000</v>
      </c>
      <c r="T666" s="65">
        <f t="shared" si="197"/>
        <v>100000</v>
      </c>
      <c r="U666" s="65">
        <f t="shared" si="197"/>
        <v>100000</v>
      </c>
      <c r="V666" s="65">
        <f t="shared" si="197"/>
        <v>100000</v>
      </c>
      <c r="W666" s="65">
        <f t="shared" si="197"/>
        <v>0</v>
      </c>
      <c r="X666" s="420"/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421">
        <v>57</v>
      </c>
      <c r="B667" s="529" t="s">
        <v>226</v>
      </c>
      <c r="C667" s="390">
        <v>2023</v>
      </c>
      <c r="D667" s="390">
        <v>2024</v>
      </c>
      <c r="E667" s="362" t="s">
        <v>260</v>
      </c>
      <c r="F667" s="393"/>
      <c r="G667" s="439">
        <v>90015</v>
      </c>
      <c r="H667" s="88">
        <v>6050</v>
      </c>
      <c r="I667" s="211" t="s">
        <v>28</v>
      </c>
      <c r="J667" s="77">
        <v>30000</v>
      </c>
      <c r="K667" s="63"/>
      <c r="L667" s="63"/>
      <c r="M667" s="84"/>
      <c r="N667" s="85"/>
      <c r="O667" s="77"/>
      <c r="P667" s="77"/>
      <c r="Q667" s="77"/>
      <c r="R667" s="62"/>
      <c r="S667" s="63"/>
      <c r="T667" s="63"/>
      <c r="U667" s="63"/>
      <c r="V667" s="63"/>
      <c r="W667" s="63"/>
      <c r="X667" s="420">
        <f>SUM(L671:W671)</f>
        <v>0</v>
      </c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422"/>
      <c r="B668" s="530"/>
      <c r="C668" s="391"/>
      <c r="D668" s="391"/>
      <c r="E668" s="362"/>
      <c r="F668" s="394"/>
      <c r="G668" s="440"/>
      <c r="H668" s="88"/>
      <c r="I668" s="211" t="s">
        <v>31</v>
      </c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420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2" hidden="1" customHeight="1">
      <c r="A669" s="422"/>
      <c r="B669" s="530"/>
      <c r="C669" s="391"/>
      <c r="D669" s="391"/>
      <c r="E669" s="362"/>
      <c r="F669" s="394"/>
      <c r="G669" s="440"/>
      <c r="H669" s="88"/>
      <c r="I669" s="211" t="s">
        <v>30</v>
      </c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420"/>
      <c r="Y669" s="40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2" hidden="1" customHeight="1">
      <c r="A670" s="422"/>
      <c r="B670" s="530"/>
      <c r="C670" s="391"/>
      <c r="D670" s="391"/>
      <c r="E670" s="362"/>
      <c r="F670" s="394"/>
      <c r="G670" s="440"/>
      <c r="H670" s="88"/>
      <c r="I670" s="60" t="s">
        <v>70</v>
      </c>
      <c r="J670" s="85">
        <v>10000</v>
      </c>
      <c r="K670" s="63"/>
      <c r="L670" s="63"/>
      <c r="M670" s="84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420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2" hidden="1" customHeight="1">
      <c r="A671" s="423"/>
      <c r="B671" s="531"/>
      <c r="C671" s="392"/>
      <c r="D671" s="392"/>
      <c r="E671" s="362"/>
      <c r="F671" s="395"/>
      <c r="G671" s="441"/>
      <c r="H671" s="88"/>
      <c r="I671" s="64" t="s">
        <v>26</v>
      </c>
      <c r="J671" s="65">
        <f t="shared" ref="J671:N671" si="198">SUM(J667:J670)</f>
        <v>40000</v>
      </c>
      <c r="K671" s="65">
        <f t="shared" si="198"/>
        <v>0</v>
      </c>
      <c r="L671" s="65">
        <f t="shared" si="198"/>
        <v>0</v>
      </c>
      <c r="M671" s="65">
        <f t="shared" si="198"/>
        <v>0</v>
      </c>
      <c r="N671" s="65">
        <f t="shared" si="198"/>
        <v>0</v>
      </c>
      <c r="O671" s="65">
        <f>SUM(O667:O670)</f>
        <v>0</v>
      </c>
      <c r="P671" s="65">
        <f t="shared" ref="P671" si="199">SUM(P667:P670)</f>
        <v>0</v>
      </c>
      <c r="Q671" s="65">
        <f>SUM(Q667:Q670)</f>
        <v>0</v>
      </c>
      <c r="R671" s="65">
        <f t="shared" ref="R671:W671" si="200">SUM(R667:R670)</f>
        <v>0</v>
      </c>
      <c r="S671" s="65">
        <f t="shared" si="200"/>
        <v>0</v>
      </c>
      <c r="T671" s="65">
        <f t="shared" si="200"/>
        <v>0</v>
      </c>
      <c r="U671" s="65">
        <f t="shared" si="200"/>
        <v>0</v>
      </c>
      <c r="V671" s="65">
        <f t="shared" si="200"/>
        <v>0</v>
      </c>
      <c r="W671" s="65">
        <f t="shared" si="200"/>
        <v>0</v>
      </c>
      <c r="X671" s="420"/>
      <c r="Y671" s="40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421">
        <v>58</v>
      </c>
      <c r="B672" s="529" t="s">
        <v>224</v>
      </c>
      <c r="C672" s="390">
        <v>2023</v>
      </c>
      <c r="D672" s="390">
        <v>2024</v>
      </c>
      <c r="E672" s="362" t="s">
        <v>260</v>
      </c>
      <c r="F672" s="393"/>
      <c r="G672" s="439">
        <v>90015</v>
      </c>
      <c r="H672" s="88">
        <v>6050</v>
      </c>
      <c r="I672" s="211" t="s">
        <v>28</v>
      </c>
      <c r="J672" s="77">
        <v>30000</v>
      </c>
      <c r="K672" s="63"/>
      <c r="L672" s="63"/>
      <c r="M672" s="84"/>
      <c r="N672" s="85"/>
      <c r="O672" s="77"/>
      <c r="P672" s="77"/>
      <c r="Q672" s="77"/>
      <c r="R672" s="62"/>
      <c r="S672" s="63"/>
      <c r="T672" s="63"/>
      <c r="U672" s="63"/>
      <c r="V672" s="63"/>
      <c r="W672" s="63"/>
      <c r="X672" s="420">
        <f>SUM(L676:W676)</f>
        <v>0</v>
      </c>
      <c r="Y672" s="141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3.9" hidden="1" customHeight="1">
      <c r="A673" s="422"/>
      <c r="B673" s="530"/>
      <c r="C673" s="391"/>
      <c r="D673" s="391"/>
      <c r="E673" s="362"/>
      <c r="F673" s="394"/>
      <c r="G673" s="440"/>
      <c r="H673" s="88"/>
      <c r="I673" s="211" t="s">
        <v>31</v>
      </c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420"/>
      <c r="Y673" s="40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3.9" hidden="1" customHeight="1">
      <c r="A674" s="422"/>
      <c r="B674" s="530"/>
      <c r="C674" s="391"/>
      <c r="D674" s="391"/>
      <c r="E674" s="362"/>
      <c r="F674" s="394"/>
      <c r="G674" s="440"/>
      <c r="H674" s="88"/>
      <c r="I674" s="211" t="s">
        <v>30</v>
      </c>
      <c r="J674" s="63"/>
      <c r="K674" s="63"/>
      <c r="L674" s="63"/>
      <c r="M674" s="62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20"/>
      <c r="Y674" s="40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3.9" hidden="1" customHeight="1">
      <c r="A675" s="422"/>
      <c r="B675" s="530"/>
      <c r="C675" s="391"/>
      <c r="D675" s="391"/>
      <c r="E675" s="362"/>
      <c r="F675" s="394"/>
      <c r="G675" s="440"/>
      <c r="H675" s="88"/>
      <c r="I675" s="60" t="s">
        <v>70</v>
      </c>
      <c r="J675" s="85">
        <v>10000</v>
      </c>
      <c r="K675" s="63"/>
      <c r="L675" s="63"/>
      <c r="M675" s="84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420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.75" hidden="1" customHeight="1">
      <c r="A676" s="423"/>
      <c r="B676" s="531"/>
      <c r="C676" s="392"/>
      <c r="D676" s="392"/>
      <c r="E676" s="362"/>
      <c r="F676" s="395"/>
      <c r="G676" s="441"/>
      <c r="H676" s="88"/>
      <c r="I676" s="64" t="s">
        <v>26</v>
      </c>
      <c r="J676" s="65">
        <f t="shared" ref="J676:W676" si="201">SUM(J672:J675)</f>
        <v>40000</v>
      </c>
      <c r="K676" s="65">
        <f t="shared" si="201"/>
        <v>0</v>
      </c>
      <c r="L676" s="65">
        <f t="shared" si="201"/>
        <v>0</v>
      </c>
      <c r="M676" s="65">
        <f t="shared" si="201"/>
        <v>0</v>
      </c>
      <c r="N676" s="65">
        <f t="shared" si="201"/>
        <v>0</v>
      </c>
      <c r="O676" s="65">
        <f>SUM(O672:O675)</f>
        <v>0</v>
      </c>
      <c r="P676" s="65">
        <f t="shared" si="201"/>
        <v>0</v>
      </c>
      <c r="Q676" s="65">
        <f>SUM(Q672:Q675)</f>
        <v>0</v>
      </c>
      <c r="R676" s="65">
        <f t="shared" si="201"/>
        <v>0</v>
      </c>
      <c r="S676" s="65">
        <f t="shared" si="201"/>
        <v>0</v>
      </c>
      <c r="T676" s="65">
        <f t="shared" si="201"/>
        <v>0</v>
      </c>
      <c r="U676" s="65">
        <f t="shared" si="201"/>
        <v>0</v>
      </c>
      <c r="V676" s="65">
        <f t="shared" si="201"/>
        <v>0</v>
      </c>
      <c r="W676" s="65">
        <f t="shared" si="201"/>
        <v>0</v>
      </c>
      <c r="X676" s="420"/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53">
        <v>53</v>
      </c>
      <c r="B677" s="447" t="s">
        <v>145</v>
      </c>
      <c r="C677" s="384">
        <v>2014</v>
      </c>
      <c r="D677" s="384">
        <v>2025</v>
      </c>
      <c r="E677" s="362" t="s">
        <v>260</v>
      </c>
      <c r="F677" s="385">
        <v>507034</v>
      </c>
      <c r="G677" s="435">
        <v>90095</v>
      </c>
      <c r="H677" s="86"/>
      <c r="I677" s="58" t="s">
        <v>28</v>
      </c>
      <c r="J677" s="87">
        <v>219943</v>
      </c>
      <c r="K677" s="87">
        <v>30000</v>
      </c>
      <c r="L677" s="77"/>
      <c r="M677" s="288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420">
        <f>SUM(L681:W681)</f>
        <v>14893</v>
      </c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2" customHeight="1">
      <c r="A678" s="353"/>
      <c r="B678" s="447"/>
      <c r="C678" s="384"/>
      <c r="D678" s="384"/>
      <c r="E678" s="362"/>
      <c r="F678" s="385"/>
      <c r="G678" s="435"/>
      <c r="H678" s="86"/>
      <c r="I678" s="67" t="s">
        <v>28</v>
      </c>
      <c r="J678" s="62"/>
      <c r="K678" s="85"/>
      <c r="L678" s="85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420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" customHeight="1">
      <c r="A679" s="353"/>
      <c r="B679" s="447"/>
      <c r="C679" s="384"/>
      <c r="D679" s="384"/>
      <c r="E679" s="362"/>
      <c r="F679" s="385"/>
      <c r="G679" s="435"/>
      <c r="H679" s="88"/>
      <c r="I679" s="211" t="s">
        <v>31</v>
      </c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420"/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2" customHeight="1">
      <c r="A680" s="353"/>
      <c r="B680" s="447"/>
      <c r="C680" s="384"/>
      <c r="D680" s="384"/>
      <c r="E680" s="362"/>
      <c r="F680" s="385"/>
      <c r="G680" s="435"/>
      <c r="H680" s="89">
        <v>6050</v>
      </c>
      <c r="I680" s="61" t="s">
        <v>70</v>
      </c>
      <c r="J680" s="62">
        <v>12737</v>
      </c>
      <c r="K680" s="63">
        <v>15851</v>
      </c>
      <c r="L680" s="85"/>
      <c r="M680" s="84"/>
      <c r="N680" s="84">
        <v>14893</v>
      </c>
      <c r="O680" s="63"/>
      <c r="P680" s="63"/>
      <c r="Q680" s="63"/>
      <c r="R680" s="63"/>
      <c r="S680" s="63"/>
      <c r="T680" s="63"/>
      <c r="U680" s="63"/>
      <c r="V680" s="63"/>
      <c r="W680" s="63"/>
      <c r="X680" s="420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4.25" customHeight="1">
      <c r="A681" s="353"/>
      <c r="B681" s="447"/>
      <c r="C681" s="384"/>
      <c r="D681" s="384"/>
      <c r="E681" s="362"/>
      <c r="F681" s="385"/>
      <c r="G681" s="435"/>
      <c r="H681" s="88"/>
      <c r="I681" s="59" t="s">
        <v>26</v>
      </c>
      <c r="J681" s="65">
        <f t="shared" ref="J681:P681" si="202">SUM(J677:J680)</f>
        <v>232680</v>
      </c>
      <c r="K681" s="65">
        <f t="shared" si="202"/>
        <v>45851</v>
      </c>
      <c r="L681" s="213">
        <f t="shared" si="202"/>
        <v>0</v>
      </c>
      <c r="M681" s="66">
        <f t="shared" si="202"/>
        <v>0</v>
      </c>
      <c r="N681" s="66">
        <f t="shared" si="202"/>
        <v>14893</v>
      </c>
      <c r="O681" s="66">
        <f t="shared" si="202"/>
        <v>0</v>
      </c>
      <c r="P681" s="66">
        <f t="shared" si="202"/>
        <v>0</v>
      </c>
      <c r="Q681" s="66"/>
      <c r="R681" s="66"/>
      <c r="S681" s="66"/>
      <c r="T681" s="66"/>
      <c r="U681" s="66"/>
      <c r="V681" s="66"/>
      <c r="W681" s="66"/>
      <c r="X681" s="420"/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421">
        <v>74</v>
      </c>
      <c r="B682" s="526" t="s">
        <v>107</v>
      </c>
      <c r="C682" s="390">
        <v>2014</v>
      </c>
      <c r="D682" s="415">
        <v>2027</v>
      </c>
      <c r="E682" s="532" t="s">
        <v>27</v>
      </c>
      <c r="F682" s="393">
        <f>X682</f>
        <v>0</v>
      </c>
      <c r="G682" s="518">
        <v>90095</v>
      </c>
      <c r="H682" s="86">
        <v>6050</v>
      </c>
      <c r="I682" s="58" t="s">
        <v>28</v>
      </c>
      <c r="J682" s="87">
        <v>312341</v>
      </c>
      <c r="K682" s="87">
        <v>0</v>
      </c>
      <c r="L682" s="87"/>
      <c r="P682" s="237"/>
      <c r="Q682" s="237"/>
      <c r="R682" s="70"/>
      <c r="S682" s="70"/>
      <c r="T682" s="70"/>
      <c r="U682" s="70"/>
      <c r="V682" s="70"/>
      <c r="W682" s="70"/>
      <c r="X682" s="515">
        <f>SUM(L687:W687)</f>
        <v>0</v>
      </c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422"/>
      <c r="B683" s="527"/>
      <c r="C683" s="391"/>
      <c r="D683" s="416"/>
      <c r="E683" s="533"/>
      <c r="F683" s="394"/>
      <c r="G683" s="519"/>
      <c r="H683" s="86"/>
      <c r="I683" s="67" t="s">
        <v>28</v>
      </c>
      <c r="J683" s="62"/>
      <c r="K683" s="63"/>
      <c r="L683" s="63"/>
      <c r="M683" s="63"/>
      <c r="N683" s="63"/>
      <c r="O683" s="63"/>
      <c r="P683" s="70"/>
      <c r="Q683" s="70"/>
      <c r="R683" s="70"/>
      <c r="S683" s="70"/>
      <c r="T683" s="70"/>
      <c r="U683" s="70"/>
      <c r="V683" s="70"/>
      <c r="W683" s="70"/>
      <c r="X683" s="516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2.75" hidden="1" customHeight="1">
      <c r="A684" s="422"/>
      <c r="B684" s="527"/>
      <c r="C684" s="391"/>
      <c r="D684" s="416"/>
      <c r="E684" s="533"/>
      <c r="F684" s="394"/>
      <c r="G684" s="519"/>
      <c r="H684" s="86"/>
      <c r="I684" s="58" t="s">
        <v>31</v>
      </c>
      <c r="J684" s="84"/>
      <c r="K684" s="85"/>
      <c r="L684" s="85"/>
      <c r="M684" s="85"/>
      <c r="N684" s="85"/>
      <c r="O684" s="85"/>
      <c r="P684" s="70"/>
      <c r="Q684" s="70"/>
      <c r="R684" s="70"/>
      <c r="S684" s="70"/>
      <c r="T684" s="70"/>
      <c r="U684" s="70"/>
      <c r="V684" s="70"/>
      <c r="W684" s="70"/>
      <c r="X684" s="516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2.75" hidden="1" customHeight="1">
      <c r="A685" s="422"/>
      <c r="B685" s="527"/>
      <c r="C685" s="391"/>
      <c r="D685" s="416"/>
      <c r="E685" s="533"/>
      <c r="F685" s="394"/>
      <c r="G685" s="519"/>
      <c r="H685" s="86"/>
      <c r="I685" s="67" t="s">
        <v>30</v>
      </c>
      <c r="J685" s="62"/>
      <c r="K685" s="63"/>
      <c r="L685" s="63"/>
      <c r="M685" s="63"/>
      <c r="N685" s="63"/>
      <c r="O685" s="63"/>
      <c r="P685" s="70"/>
      <c r="Q685" s="70"/>
      <c r="R685" s="70"/>
      <c r="S685" s="70"/>
      <c r="T685" s="70"/>
      <c r="U685" s="70"/>
      <c r="V685" s="70"/>
      <c r="W685" s="70"/>
      <c r="X685" s="516"/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2.75" hidden="1" customHeight="1">
      <c r="A686" s="422"/>
      <c r="B686" s="527"/>
      <c r="C686" s="391"/>
      <c r="D686" s="416"/>
      <c r="E686" s="533"/>
      <c r="F686" s="394"/>
      <c r="G686" s="519"/>
      <c r="H686" s="89"/>
      <c r="I686" s="60" t="s">
        <v>33</v>
      </c>
      <c r="J686" s="85"/>
      <c r="K686" s="63"/>
      <c r="L686" s="63"/>
      <c r="M686" s="63"/>
      <c r="N686" s="63"/>
      <c r="O686" s="63"/>
      <c r="P686" s="63"/>
      <c r="Q686" s="62"/>
      <c r="R686" s="63"/>
      <c r="S686" s="63"/>
      <c r="T686" s="63"/>
      <c r="U686" s="63"/>
      <c r="V686" s="63"/>
      <c r="W686" s="63"/>
      <c r="X686" s="516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7.25" hidden="1" customHeight="1">
      <c r="A687" s="423"/>
      <c r="B687" s="528"/>
      <c r="C687" s="392"/>
      <c r="D687" s="417"/>
      <c r="E687" s="534"/>
      <c r="F687" s="395"/>
      <c r="G687" s="520"/>
      <c r="H687" s="88"/>
      <c r="I687" s="59" t="s">
        <v>26</v>
      </c>
      <c r="J687" s="65">
        <f>SUM(J682:J686)</f>
        <v>312341</v>
      </c>
      <c r="K687" s="65">
        <f>SUM(K682:K686)</f>
        <v>0</v>
      </c>
      <c r="L687" s="65">
        <f t="shared" ref="L687:N687" si="203">SUM(L682:L686)</f>
        <v>0</v>
      </c>
      <c r="M687" s="65">
        <f t="shared" si="203"/>
        <v>0</v>
      </c>
      <c r="N687" s="65">
        <f t="shared" si="203"/>
        <v>0</v>
      </c>
      <c r="O687" s="65">
        <f>SUM(O682:O686)</f>
        <v>0</v>
      </c>
      <c r="P687" s="66">
        <f>SUM(P682:P686)</f>
        <v>0</v>
      </c>
      <c r="Q687" s="65">
        <f>SUM(Q682:Q686)</f>
        <v>0</v>
      </c>
      <c r="R687" s="66"/>
      <c r="S687" s="66"/>
      <c r="T687" s="66"/>
      <c r="U687" s="66"/>
      <c r="V687" s="66"/>
      <c r="W687" s="66"/>
      <c r="X687" s="517"/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53">
        <v>54</v>
      </c>
      <c r="B688" s="447" t="s">
        <v>234</v>
      </c>
      <c r="C688" s="396">
        <v>2024</v>
      </c>
      <c r="D688" s="357">
        <v>2025</v>
      </c>
      <c r="E688" s="362" t="s">
        <v>260</v>
      </c>
      <c r="F688" s="400">
        <f>X688+1391273</f>
        <v>7264237</v>
      </c>
      <c r="G688" s="443">
        <v>90095</v>
      </c>
      <c r="H688" s="86">
        <v>6050</v>
      </c>
      <c r="I688" s="58" t="s">
        <v>28</v>
      </c>
      <c r="J688" s="84">
        <v>50950</v>
      </c>
      <c r="K688" s="62"/>
      <c r="L688" s="84"/>
      <c r="M688" s="327"/>
      <c r="N688" s="87">
        <v>200000</v>
      </c>
      <c r="O688" s="244"/>
      <c r="P688" s="84"/>
      <c r="Q688" s="84"/>
      <c r="R688" s="62"/>
      <c r="S688" s="62"/>
      <c r="T688" s="62"/>
      <c r="U688" s="62"/>
      <c r="V688" s="62"/>
      <c r="W688" s="62"/>
      <c r="X688" s="420">
        <f>SUM(L692:W692)</f>
        <v>5872964</v>
      </c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4.45" customHeight="1">
      <c r="A689" s="353"/>
      <c r="B689" s="447"/>
      <c r="C689" s="396"/>
      <c r="D689" s="357"/>
      <c r="E689" s="362"/>
      <c r="F689" s="400"/>
      <c r="G689" s="443"/>
      <c r="H689" s="86">
        <v>6370</v>
      </c>
      <c r="I689" s="58" t="s">
        <v>235</v>
      </c>
      <c r="J689" s="62"/>
      <c r="K689" s="62"/>
      <c r="L689" s="84"/>
      <c r="M689" s="84"/>
      <c r="N689" s="84">
        <v>5668964</v>
      </c>
      <c r="O689" s="62"/>
      <c r="P689" s="62"/>
      <c r="Q689" s="62"/>
      <c r="R689" s="62"/>
      <c r="S689" s="62"/>
      <c r="T689" s="62"/>
      <c r="U689" s="62"/>
      <c r="V689" s="62"/>
      <c r="W689" s="62"/>
      <c r="X689" s="420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4.45" customHeight="1">
      <c r="A690" s="353"/>
      <c r="B690" s="447"/>
      <c r="C690" s="396"/>
      <c r="D690" s="357"/>
      <c r="E690" s="362"/>
      <c r="F690" s="400"/>
      <c r="G690" s="443"/>
      <c r="H690" s="86">
        <v>6050</v>
      </c>
      <c r="I690" s="58" t="s">
        <v>236</v>
      </c>
      <c r="J690" s="62"/>
      <c r="K690" s="62"/>
      <c r="L690" s="84"/>
      <c r="M690" s="84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420"/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4.45" customHeight="1">
      <c r="A691" s="353"/>
      <c r="B691" s="447"/>
      <c r="C691" s="396"/>
      <c r="D691" s="357"/>
      <c r="E691" s="362"/>
      <c r="F691" s="400"/>
      <c r="G691" s="443"/>
      <c r="H691" s="86"/>
      <c r="I691" s="61" t="s">
        <v>70</v>
      </c>
      <c r="J691" s="62"/>
      <c r="K691" s="84">
        <v>35000</v>
      </c>
      <c r="L691" s="84"/>
      <c r="M691" s="327"/>
      <c r="N691" s="327">
        <v>4000</v>
      </c>
      <c r="O691" s="62"/>
      <c r="P691" s="62"/>
      <c r="Q691" s="62"/>
      <c r="R691" s="62"/>
      <c r="S691" s="62"/>
      <c r="T691" s="62"/>
      <c r="U691" s="62"/>
      <c r="V691" s="62"/>
      <c r="W691" s="62"/>
      <c r="X691" s="420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customHeight="1">
      <c r="A692" s="353"/>
      <c r="B692" s="447"/>
      <c r="C692" s="396"/>
      <c r="D692" s="357"/>
      <c r="E692" s="362"/>
      <c r="F692" s="400"/>
      <c r="G692" s="443"/>
      <c r="H692" s="86"/>
      <c r="I692" s="64" t="s">
        <v>26</v>
      </c>
      <c r="J692" s="65">
        <f t="shared" ref="J692:K692" si="204">SUM(J688:J691)</f>
        <v>50950</v>
      </c>
      <c r="K692" s="65">
        <f t="shared" si="204"/>
        <v>35000</v>
      </c>
      <c r="L692" s="65">
        <f>SUM(L688:L691)</f>
        <v>0</v>
      </c>
      <c r="M692" s="65">
        <f>SUM(M688:M691)</f>
        <v>0</v>
      </c>
      <c r="N692" s="65">
        <f t="shared" ref="N692:W692" si="205">SUM(N688:N691)</f>
        <v>5872964</v>
      </c>
      <c r="O692" s="65">
        <f t="shared" si="205"/>
        <v>0</v>
      </c>
      <c r="P692" s="65">
        <f>SUM(P688:P691)</f>
        <v>0</v>
      </c>
      <c r="Q692" s="65">
        <f>SUM(Q688:Q691)</f>
        <v>0</v>
      </c>
      <c r="R692" s="65">
        <f t="shared" si="205"/>
        <v>0</v>
      </c>
      <c r="S692" s="65">
        <f t="shared" si="205"/>
        <v>0</v>
      </c>
      <c r="T692" s="65">
        <f t="shared" si="205"/>
        <v>0</v>
      </c>
      <c r="U692" s="65">
        <f t="shared" si="205"/>
        <v>0</v>
      </c>
      <c r="V692" s="65">
        <f t="shared" si="205"/>
        <v>0</v>
      </c>
      <c r="W692" s="65">
        <f t="shared" si="205"/>
        <v>0</v>
      </c>
      <c r="X692" s="420"/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421">
        <v>59</v>
      </c>
      <c r="B693" s="559" t="s">
        <v>249</v>
      </c>
      <c r="C693" s="571">
        <v>2024</v>
      </c>
      <c r="D693" s="572">
        <v>2025</v>
      </c>
      <c r="E693" s="574" t="s">
        <v>237</v>
      </c>
      <c r="F693" s="400">
        <f>X693</f>
        <v>0</v>
      </c>
      <c r="G693" s="448">
        <v>90095</v>
      </c>
      <c r="H693" s="328">
        <v>6230</v>
      </c>
      <c r="I693" s="329" t="s">
        <v>248</v>
      </c>
      <c r="J693" s="327">
        <v>50950</v>
      </c>
      <c r="K693" s="330"/>
      <c r="L693" s="327"/>
      <c r="M693" s="327">
        <v>0</v>
      </c>
      <c r="N693" s="327">
        <v>0</v>
      </c>
      <c r="O693" s="331"/>
      <c r="P693" s="327"/>
      <c r="Q693" s="327"/>
      <c r="R693" s="330"/>
      <c r="S693" s="330"/>
      <c r="T693" s="330"/>
      <c r="U693" s="330"/>
      <c r="V693" s="330"/>
      <c r="W693" s="330"/>
      <c r="X693" s="420">
        <f>SUM(L697:W697)</f>
        <v>0</v>
      </c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422"/>
      <c r="B694" s="559"/>
      <c r="C694" s="571"/>
      <c r="D694" s="572"/>
      <c r="E694" s="574"/>
      <c r="F694" s="400"/>
      <c r="G694" s="448"/>
      <c r="H694" s="328"/>
      <c r="I694" s="329" t="s">
        <v>235</v>
      </c>
      <c r="J694" s="330"/>
      <c r="K694" s="330"/>
      <c r="L694" s="327"/>
      <c r="M694" s="327"/>
      <c r="N694" s="327"/>
      <c r="O694" s="330"/>
      <c r="P694" s="330"/>
      <c r="Q694" s="330"/>
      <c r="R694" s="330"/>
      <c r="S694" s="330"/>
      <c r="T694" s="330"/>
      <c r="U694" s="330"/>
      <c r="V694" s="330"/>
      <c r="W694" s="330"/>
      <c r="X694" s="420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.75" hidden="1" customHeight="1">
      <c r="A695" s="422"/>
      <c r="B695" s="559"/>
      <c r="C695" s="571"/>
      <c r="D695" s="572"/>
      <c r="E695" s="574"/>
      <c r="F695" s="400"/>
      <c r="G695" s="448"/>
      <c r="H695" s="328"/>
      <c r="I695" s="329" t="s">
        <v>236</v>
      </c>
      <c r="J695" s="330"/>
      <c r="K695" s="330"/>
      <c r="L695" s="327"/>
      <c r="M695" s="327"/>
      <c r="N695" s="330"/>
      <c r="O695" s="330"/>
      <c r="P695" s="330"/>
      <c r="Q695" s="330"/>
      <c r="R695" s="330"/>
      <c r="S695" s="330"/>
      <c r="T695" s="330"/>
      <c r="U695" s="330"/>
      <c r="V695" s="330"/>
      <c r="W695" s="330"/>
      <c r="X695" s="420"/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.75" hidden="1" customHeight="1">
      <c r="A696" s="422"/>
      <c r="B696" s="559"/>
      <c r="C696" s="571"/>
      <c r="D696" s="572"/>
      <c r="E696" s="574"/>
      <c r="F696" s="400"/>
      <c r="G696" s="448"/>
      <c r="H696" s="328"/>
      <c r="I696" s="332" t="s">
        <v>70</v>
      </c>
      <c r="J696" s="330"/>
      <c r="K696" s="327">
        <v>35000</v>
      </c>
      <c r="L696" s="327"/>
      <c r="M696" s="327"/>
      <c r="N696" s="330"/>
      <c r="O696" s="330"/>
      <c r="P696" s="330"/>
      <c r="Q696" s="330"/>
      <c r="R696" s="330"/>
      <c r="S696" s="330"/>
      <c r="T696" s="330"/>
      <c r="U696" s="330"/>
      <c r="V696" s="330"/>
      <c r="W696" s="330"/>
      <c r="X696" s="420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.75" hidden="1" customHeight="1">
      <c r="A697" s="423"/>
      <c r="B697" s="559"/>
      <c r="C697" s="571"/>
      <c r="D697" s="572"/>
      <c r="E697" s="574"/>
      <c r="F697" s="400"/>
      <c r="G697" s="448"/>
      <c r="H697" s="328"/>
      <c r="I697" s="333" t="s">
        <v>26</v>
      </c>
      <c r="J697" s="330">
        <f t="shared" ref="J697:K697" si="206">SUM(J693:J696)</f>
        <v>50950</v>
      </c>
      <c r="K697" s="330">
        <f t="shared" si="206"/>
        <v>35000</v>
      </c>
      <c r="L697" s="330">
        <f>SUM(L693:L696)</f>
        <v>0</v>
      </c>
      <c r="M697" s="330">
        <f>SUM(M693:M696)</f>
        <v>0</v>
      </c>
      <c r="N697" s="330">
        <f t="shared" ref="N697:O697" si="207">SUM(N693:N696)</f>
        <v>0</v>
      </c>
      <c r="O697" s="330">
        <f t="shared" si="207"/>
        <v>0</v>
      </c>
      <c r="P697" s="330">
        <f>SUM(P693:P696)</f>
        <v>0</v>
      </c>
      <c r="Q697" s="330">
        <f>SUM(Q693:Q696)</f>
        <v>0</v>
      </c>
      <c r="R697" s="330">
        <f t="shared" ref="R697:W697" si="208">SUM(R693:R696)</f>
        <v>0</v>
      </c>
      <c r="S697" s="330">
        <f t="shared" si="208"/>
        <v>0</v>
      </c>
      <c r="T697" s="330">
        <f t="shared" si="208"/>
        <v>0</v>
      </c>
      <c r="U697" s="330">
        <f t="shared" si="208"/>
        <v>0</v>
      </c>
      <c r="V697" s="330">
        <f t="shared" si="208"/>
        <v>0</v>
      </c>
      <c r="W697" s="330">
        <f t="shared" si="208"/>
        <v>0</v>
      </c>
      <c r="X697" s="420"/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53">
        <v>55</v>
      </c>
      <c r="B698" s="447" t="s">
        <v>165</v>
      </c>
      <c r="C698" s="455">
        <v>2019</v>
      </c>
      <c r="D698" s="370">
        <v>2025</v>
      </c>
      <c r="E698" s="362" t="s">
        <v>260</v>
      </c>
      <c r="F698" s="442">
        <f>305951+X698</f>
        <v>341451</v>
      </c>
      <c r="G698" s="377">
        <v>90095</v>
      </c>
      <c r="H698" s="165">
        <v>6050</v>
      </c>
      <c r="I698" s="163" t="s">
        <v>28</v>
      </c>
      <c r="J698" s="156">
        <v>85000</v>
      </c>
      <c r="K698" s="156"/>
      <c r="L698" s="156"/>
      <c r="M698" s="156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436">
        <f>SUM(L702:W702)</f>
        <v>35500</v>
      </c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53"/>
      <c r="B699" s="447"/>
      <c r="C699" s="455"/>
      <c r="D699" s="370"/>
      <c r="E699" s="362"/>
      <c r="F699" s="442"/>
      <c r="G699" s="377"/>
      <c r="H699" s="165"/>
      <c r="I699" s="163" t="s">
        <v>31</v>
      </c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436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" customHeight="1">
      <c r="A700" s="353"/>
      <c r="B700" s="447"/>
      <c r="C700" s="455"/>
      <c r="D700" s="370"/>
      <c r="E700" s="362"/>
      <c r="F700" s="442"/>
      <c r="G700" s="377"/>
      <c r="H700" s="165"/>
      <c r="I700" s="163" t="s">
        <v>109</v>
      </c>
      <c r="J700" s="187"/>
      <c r="K700" s="156">
        <v>21000</v>
      </c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436"/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" customHeight="1">
      <c r="A701" s="353"/>
      <c r="B701" s="447"/>
      <c r="C701" s="455"/>
      <c r="D701" s="370"/>
      <c r="E701" s="362"/>
      <c r="F701" s="442"/>
      <c r="G701" s="377"/>
      <c r="H701" s="165">
        <v>6050</v>
      </c>
      <c r="I701" s="155" t="s">
        <v>70</v>
      </c>
      <c r="J701" s="187"/>
      <c r="K701" s="210">
        <v>25500</v>
      </c>
      <c r="L701" s="156"/>
      <c r="M701" s="325"/>
      <c r="N701" s="187">
        <v>35500</v>
      </c>
      <c r="O701" s="187"/>
      <c r="P701" s="187"/>
      <c r="Q701" s="187"/>
      <c r="R701" s="187"/>
      <c r="S701" s="187"/>
      <c r="T701" s="187"/>
      <c r="U701" s="187"/>
      <c r="V701" s="187"/>
      <c r="W701" s="187"/>
      <c r="X701" s="436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" customHeight="1">
      <c r="A702" s="353"/>
      <c r="B702" s="447"/>
      <c r="C702" s="455"/>
      <c r="D702" s="370"/>
      <c r="E702" s="362"/>
      <c r="F702" s="442"/>
      <c r="G702" s="377"/>
      <c r="H702" s="165"/>
      <c r="I702" s="160" t="s">
        <v>26</v>
      </c>
      <c r="J702" s="161">
        <f>SUM(J698:J701)</f>
        <v>85000</v>
      </c>
      <c r="K702" s="161">
        <f>SUM(K698:K701)</f>
        <v>46500</v>
      </c>
      <c r="L702" s="161">
        <f>SUM(L698:L701)</f>
        <v>0</v>
      </c>
      <c r="M702" s="161">
        <f t="shared" ref="M702:W702" si="209">SUM(M698:M701)</f>
        <v>0</v>
      </c>
      <c r="N702" s="161">
        <f t="shared" si="209"/>
        <v>35500</v>
      </c>
      <c r="O702" s="161">
        <f t="shared" si="209"/>
        <v>0</v>
      </c>
      <c r="P702" s="161">
        <f t="shared" si="209"/>
        <v>0</v>
      </c>
      <c r="Q702" s="161">
        <f t="shared" si="209"/>
        <v>0</v>
      </c>
      <c r="R702" s="161">
        <f t="shared" si="209"/>
        <v>0</v>
      </c>
      <c r="S702" s="161">
        <f t="shared" si="209"/>
        <v>0</v>
      </c>
      <c r="T702" s="161">
        <f t="shared" si="209"/>
        <v>0</v>
      </c>
      <c r="U702" s="161">
        <f t="shared" si="209"/>
        <v>0</v>
      </c>
      <c r="V702" s="161">
        <f t="shared" si="209"/>
        <v>0</v>
      </c>
      <c r="W702" s="161">
        <f t="shared" si="209"/>
        <v>0</v>
      </c>
      <c r="X702" s="436"/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53">
        <v>56</v>
      </c>
      <c r="B703" s="447" t="s">
        <v>143</v>
      </c>
      <c r="C703" s="396">
        <v>2019</v>
      </c>
      <c r="D703" s="357">
        <v>2025</v>
      </c>
      <c r="E703" s="362" t="s">
        <v>260</v>
      </c>
      <c r="F703" s="385">
        <f>277482+X703+42569</f>
        <v>350051</v>
      </c>
      <c r="G703" s="443">
        <v>90095</v>
      </c>
      <c r="H703" s="86">
        <v>6050</v>
      </c>
      <c r="I703" s="211" t="s">
        <v>28</v>
      </c>
      <c r="J703" s="84">
        <v>21000</v>
      </c>
      <c r="K703" s="62"/>
      <c r="L703" s="84"/>
      <c r="M703" s="84"/>
      <c r="N703" s="84">
        <v>30000</v>
      </c>
      <c r="O703" s="62"/>
      <c r="P703" s="62"/>
      <c r="Q703" s="62"/>
      <c r="R703" s="62"/>
      <c r="S703" s="62"/>
      <c r="T703" s="62"/>
      <c r="U703" s="62"/>
      <c r="V703" s="62"/>
      <c r="W703" s="62"/>
      <c r="X703" s="371">
        <f>SUM(L707:W707)</f>
        <v>30000</v>
      </c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12.75" customHeight="1">
      <c r="A704" s="353"/>
      <c r="B704" s="447"/>
      <c r="C704" s="396"/>
      <c r="D704" s="357"/>
      <c r="E704" s="362"/>
      <c r="F704" s="385"/>
      <c r="G704" s="443"/>
      <c r="H704" s="86"/>
      <c r="I704" s="211" t="s">
        <v>31</v>
      </c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371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customHeight="1">
      <c r="A705" s="353"/>
      <c r="B705" s="447"/>
      <c r="C705" s="396"/>
      <c r="D705" s="357"/>
      <c r="E705" s="362"/>
      <c r="F705" s="385"/>
      <c r="G705" s="443"/>
      <c r="H705" s="89">
        <v>6050</v>
      </c>
      <c r="I705" s="211" t="s">
        <v>144</v>
      </c>
      <c r="J705" s="62"/>
      <c r="K705" s="84">
        <v>7000</v>
      </c>
      <c r="L705" s="84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371"/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12.75" customHeight="1">
      <c r="A706" s="353"/>
      <c r="B706" s="447"/>
      <c r="C706" s="396"/>
      <c r="D706" s="357"/>
      <c r="E706" s="362"/>
      <c r="F706" s="385"/>
      <c r="G706" s="443"/>
      <c r="H706" s="86">
        <v>6050</v>
      </c>
      <c r="I706" s="60" t="s">
        <v>70</v>
      </c>
      <c r="J706" s="62"/>
      <c r="K706" s="84">
        <v>15832</v>
      </c>
      <c r="L706" s="84"/>
      <c r="M706" s="84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371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25.5" customHeight="1">
      <c r="A707" s="353"/>
      <c r="B707" s="447"/>
      <c r="C707" s="396"/>
      <c r="D707" s="357"/>
      <c r="E707" s="362"/>
      <c r="F707" s="385"/>
      <c r="G707" s="443"/>
      <c r="H707" s="86"/>
      <c r="I707" s="64" t="s">
        <v>26</v>
      </c>
      <c r="J707" s="65">
        <f>SUM(J703:J706)</f>
        <v>21000</v>
      </c>
      <c r="K707" s="65">
        <f>SUM(K703:K706)</f>
        <v>22832</v>
      </c>
      <c r="L707" s="65">
        <f>SUM(L703:L706)</f>
        <v>0</v>
      </c>
      <c r="M707" s="65">
        <f t="shared" ref="M707:W707" si="210">SUM(M703:M706)</f>
        <v>0</v>
      </c>
      <c r="N707" s="65">
        <f t="shared" si="210"/>
        <v>30000</v>
      </c>
      <c r="O707" s="65">
        <f t="shared" si="210"/>
        <v>0</v>
      </c>
      <c r="P707" s="65">
        <f t="shared" si="210"/>
        <v>0</v>
      </c>
      <c r="Q707" s="65">
        <f t="shared" si="210"/>
        <v>0</v>
      </c>
      <c r="R707" s="65">
        <f t="shared" si="210"/>
        <v>0</v>
      </c>
      <c r="S707" s="65">
        <f t="shared" si="210"/>
        <v>0</v>
      </c>
      <c r="T707" s="65">
        <f t="shared" si="210"/>
        <v>0</v>
      </c>
      <c r="U707" s="65">
        <f t="shared" si="210"/>
        <v>0</v>
      </c>
      <c r="V707" s="65">
        <f t="shared" si="210"/>
        <v>0</v>
      </c>
      <c r="W707" s="65">
        <f t="shared" si="210"/>
        <v>0</v>
      </c>
      <c r="X707" s="371"/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53">
        <v>76</v>
      </c>
      <c r="B708" s="475" t="s">
        <v>112</v>
      </c>
      <c r="C708" s="433">
        <v>2019</v>
      </c>
      <c r="D708" s="449">
        <v>2021</v>
      </c>
      <c r="E708" s="413" t="s">
        <v>27</v>
      </c>
      <c r="F708" s="414">
        <v>0</v>
      </c>
      <c r="G708" s="418">
        <v>90095</v>
      </c>
      <c r="H708" s="104">
        <v>6050</v>
      </c>
      <c r="I708" s="114" t="s">
        <v>28</v>
      </c>
      <c r="J708" s="100">
        <v>30000</v>
      </c>
      <c r="K708" s="100">
        <v>105400</v>
      </c>
      <c r="L708" s="100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72">
        <f>SUM(L712:P712)</f>
        <v>0</v>
      </c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53"/>
      <c r="B709" s="475"/>
      <c r="C709" s="433"/>
      <c r="D709" s="449"/>
      <c r="E709" s="413"/>
      <c r="F709" s="414"/>
      <c r="G709" s="418"/>
      <c r="H709" s="104"/>
      <c r="I709" s="114" t="s">
        <v>31</v>
      </c>
      <c r="J709" s="98"/>
      <c r="K709" s="98"/>
      <c r="L709" s="98"/>
      <c r="M709" s="98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372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2.75" hidden="1" customHeight="1">
      <c r="A710" s="353"/>
      <c r="B710" s="475"/>
      <c r="C710" s="433"/>
      <c r="D710" s="449"/>
      <c r="E710" s="413"/>
      <c r="F710" s="414"/>
      <c r="G710" s="418"/>
      <c r="H710" s="104"/>
      <c r="I710" s="114" t="s">
        <v>30</v>
      </c>
      <c r="J710" s="98"/>
      <c r="K710" s="98"/>
      <c r="L710" s="98"/>
      <c r="M710" s="98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372"/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2.75" hidden="1" customHeight="1">
      <c r="A711" s="353"/>
      <c r="B711" s="475"/>
      <c r="C711" s="433"/>
      <c r="D711" s="449"/>
      <c r="E711" s="413"/>
      <c r="F711" s="414"/>
      <c r="G711" s="418"/>
      <c r="H711" s="104"/>
      <c r="I711" s="92" t="s">
        <v>70</v>
      </c>
      <c r="J711" s="98"/>
      <c r="K711" s="100">
        <v>18627</v>
      </c>
      <c r="L711" s="98"/>
      <c r="M711" s="98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372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2.75" hidden="1" customHeight="1">
      <c r="A712" s="353"/>
      <c r="B712" s="475"/>
      <c r="C712" s="433"/>
      <c r="D712" s="449"/>
      <c r="E712" s="413"/>
      <c r="F712" s="414"/>
      <c r="G712" s="418"/>
      <c r="H712" s="104"/>
      <c r="I712" s="101" t="s">
        <v>26</v>
      </c>
      <c r="J712" s="102">
        <f>SUM(J708:J711)</f>
        <v>30000</v>
      </c>
      <c r="K712" s="102">
        <f>SUM(K708:K711)</f>
        <v>124027</v>
      </c>
      <c r="L712" s="102">
        <f>SUM(L708:L711)</f>
        <v>0</v>
      </c>
      <c r="M712" s="102">
        <f t="shared" ref="M712:W712" si="211">SUM(M708:M711)</f>
        <v>0</v>
      </c>
      <c r="N712" s="102">
        <f t="shared" si="211"/>
        <v>0</v>
      </c>
      <c r="O712" s="102">
        <f t="shared" si="211"/>
        <v>0</v>
      </c>
      <c r="P712" s="102">
        <f t="shared" si="211"/>
        <v>0</v>
      </c>
      <c r="Q712" s="102">
        <f t="shared" si="211"/>
        <v>0</v>
      </c>
      <c r="R712" s="102">
        <f t="shared" si="211"/>
        <v>0</v>
      </c>
      <c r="S712" s="102">
        <f t="shared" si="211"/>
        <v>0</v>
      </c>
      <c r="T712" s="102">
        <f t="shared" si="211"/>
        <v>0</v>
      </c>
      <c r="U712" s="102">
        <f t="shared" si="211"/>
        <v>0</v>
      </c>
      <c r="V712" s="102">
        <f t="shared" si="211"/>
        <v>0</v>
      </c>
      <c r="W712" s="102">
        <f t="shared" si="211"/>
        <v>0</v>
      </c>
      <c r="X712" s="372"/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53">
        <v>62</v>
      </c>
      <c r="B713" s="447" t="s">
        <v>257</v>
      </c>
      <c r="C713" s="396">
        <v>2024</v>
      </c>
      <c r="D713" s="357">
        <v>2025</v>
      </c>
      <c r="E713" s="437" t="s">
        <v>27</v>
      </c>
      <c r="F713" s="385"/>
      <c r="G713" s="443">
        <v>90095</v>
      </c>
      <c r="H713" s="86">
        <v>6050</v>
      </c>
      <c r="I713" s="211" t="s">
        <v>28</v>
      </c>
      <c r="J713" s="84">
        <v>50000</v>
      </c>
      <c r="K713" s="62"/>
      <c r="L713" s="84"/>
      <c r="M713" s="84"/>
      <c r="N713" s="84">
        <v>0</v>
      </c>
      <c r="O713" s="62"/>
      <c r="P713" s="62"/>
      <c r="Q713" s="62"/>
      <c r="R713" s="62"/>
      <c r="S713" s="62"/>
      <c r="T713" s="62"/>
      <c r="U713" s="62"/>
      <c r="V713" s="62"/>
      <c r="W713" s="62"/>
      <c r="X713" s="371">
        <f>SUM(L717:W717)</f>
        <v>0</v>
      </c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53"/>
      <c r="B714" s="447"/>
      <c r="C714" s="396"/>
      <c r="D714" s="357"/>
      <c r="E714" s="437"/>
      <c r="F714" s="385"/>
      <c r="G714" s="443"/>
      <c r="H714" s="86"/>
      <c r="I714" s="211" t="s">
        <v>31</v>
      </c>
      <c r="J714" s="62"/>
      <c r="K714" s="62"/>
      <c r="L714" s="62"/>
      <c r="M714" s="84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371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53"/>
      <c r="B715" s="447"/>
      <c r="C715" s="396"/>
      <c r="D715" s="357"/>
      <c r="E715" s="437"/>
      <c r="F715" s="385"/>
      <c r="G715" s="443"/>
      <c r="H715" s="86"/>
      <c r="I715" s="211" t="s">
        <v>33</v>
      </c>
      <c r="J715" s="62"/>
      <c r="K715" s="84">
        <v>5000</v>
      </c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71"/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53"/>
      <c r="B716" s="447"/>
      <c r="C716" s="396"/>
      <c r="D716" s="357"/>
      <c r="E716" s="437"/>
      <c r="F716" s="385"/>
      <c r="G716" s="443"/>
      <c r="H716" s="86"/>
      <c r="I716" s="60" t="s">
        <v>70</v>
      </c>
      <c r="J716" s="62"/>
      <c r="K716" s="84">
        <v>30000</v>
      </c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371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53"/>
      <c r="B717" s="447"/>
      <c r="C717" s="396"/>
      <c r="D717" s="357"/>
      <c r="E717" s="437"/>
      <c r="F717" s="385"/>
      <c r="G717" s="443"/>
      <c r="H717" s="86"/>
      <c r="I717" s="64" t="s">
        <v>26</v>
      </c>
      <c r="J717" s="65">
        <f>SUM(J713:J716)</f>
        <v>50000</v>
      </c>
      <c r="K717" s="65">
        <f>SUM(K713:K716)</f>
        <v>35000</v>
      </c>
      <c r="L717" s="65">
        <f>SUM(L713:L716)</f>
        <v>0</v>
      </c>
      <c r="M717" s="65">
        <f t="shared" ref="M717:W717" si="212">SUM(M713:M716)</f>
        <v>0</v>
      </c>
      <c r="N717" s="65">
        <f t="shared" si="212"/>
        <v>0</v>
      </c>
      <c r="O717" s="65">
        <f t="shared" si="212"/>
        <v>0</v>
      </c>
      <c r="P717" s="65">
        <f t="shared" si="212"/>
        <v>0</v>
      </c>
      <c r="Q717" s="65">
        <f t="shared" si="212"/>
        <v>0</v>
      </c>
      <c r="R717" s="65">
        <f t="shared" si="212"/>
        <v>0</v>
      </c>
      <c r="S717" s="65">
        <f t="shared" si="212"/>
        <v>0</v>
      </c>
      <c r="T717" s="65">
        <f t="shared" si="212"/>
        <v>0</v>
      </c>
      <c r="U717" s="65">
        <f t="shared" si="212"/>
        <v>0</v>
      </c>
      <c r="V717" s="65">
        <f t="shared" si="212"/>
        <v>0</v>
      </c>
      <c r="W717" s="65">
        <f t="shared" si="212"/>
        <v>0</v>
      </c>
      <c r="X717" s="371"/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53">
        <v>63</v>
      </c>
      <c r="B718" s="447" t="s">
        <v>227</v>
      </c>
      <c r="C718" s="396">
        <v>2023</v>
      </c>
      <c r="D718" s="357">
        <v>2024</v>
      </c>
      <c r="E718" s="437" t="s">
        <v>27</v>
      </c>
      <c r="F718" s="385"/>
      <c r="G718" s="443">
        <v>90095</v>
      </c>
      <c r="H718" s="86"/>
      <c r="I718" s="211" t="s">
        <v>28</v>
      </c>
      <c r="J718" s="65"/>
      <c r="K718" s="65"/>
      <c r="L718" s="84"/>
      <c r="M718" s="84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71">
        <f>SUM(L722:W722)</f>
        <v>0</v>
      </c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1.25" hidden="1" customHeight="1">
      <c r="A719" s="353"/>
      <c r="B719" s="447"/>
      <c r="C719" s="396"/>
      <c r="D719" s="357"/>
      <c r="E719" s="437"/>
      <c r="F719" s="385"/>
      <c r="G719" s="443"/>
      <c r="H719" s="86"/>
      <c r="I719" s="211" t="s">
        <v>31</v>
      </c>
      <c r="J719" s="65"/>
      <c r="K719" s="65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371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1.25" hidden="1" customHeight="1">
      <c r="A720" s="353"/>
      <c r="B720" s="447"/>
      <c r="C720" s="396"/>
      <c r="D720" s="357"/>
      <c r="E720" s="437"/>
      <c r="F720" s="385"/>
      <c r="G720" s="443"/>
      <c r="H720" s="86"/>
      <c r="I720" s="211" t="s">
        <v>30</v>
      </c>
      <c r="J720" s="65"/>
      <c r="K720" s="65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371"/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1.25" hidden="1" customHeight="1">
      <c r="A721" s="353"/>
      <c r="B721" s="447"/>
      <c r="C721" s="396"/>
      <c r="D721" s="357"/>
      <c r="E721" s="437"/>
      <c r="F721" s="385"/>
      <c r="G721" s="443"/>
      <c r="H721" s="86">
        <v>6050</v>
      </c>
      <c r="I721" s="60" t="s">
        <v>70</v>
      </c>
      <c r="J721" s="65"/>
      <c r="K721" s="65"/>
      <c r="L721" s="84"/>
      <c r="M721" s="84">
        <v>0</v>
      </c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371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2" hidden="1" customHeight="1">
      <c r="A722" s="353"/>
      <c r="B722" s="447"/>
      <c r="C722" s="396"/>
      <c r="D722" s="357"/>
      <c r="E722" s="437"/>
      <c r="F722" s="385"/>
      <c r="G722" s="443"/>
      <c r="H722" s="86"/>
      <c r="I722" s="64" t="s">
        <v>26</v>
      </c>
      <c r="J722" s="65"/>
      <c r="K722" s="65"/>
      <c r="L722" s="65">
        <f>SUM(L718:L721)</f>
        <v>0</v>
      </c>
      <c r="M722" s="65">
        <f t="shared" ref="M722" si="213">SUM(M718:M721)</f>
        <v>0</v>
      </c>
      <c r="N722" s="65">
        <f t="shared" ref="N722" si="214">SUM(N718:N721)</f>
        <v>0</v>
      </c>
      <c r="O722" s="65">
        <f t="shared" ref="O722" si="215">SUM(O718:O721)</f>
        <v>0</v>
      </c>
      <c r="P722" s="65">
        <f t="shared" ref="P722" si="216">SUM(P718:P721)</f>
        <v>0</v>
      </c>
      <c r="Q722" s="65">
        <f t="shared" ref="Q722" si="217">SUM(Q718:Q721)</f>
        <v>0</v>
      </c>
      <c r="R722" s="65">
        <f t="shared" ref="R722" si="218">SUM(R718:R721)</f>
        <v>0</v>
      </c>
      <c r="S722" s="65">
        <f t="shared" ref="S722" si="219">SUM(S718:S721)</f>
        <v>0</v>
      </c>
      <c r="T722" s="65">
        <f t="shared" ref="T722" si="220">SUM(T718:T721)</f>
        <v>0</v>
      </c>
      <c r="U722" s="65">
        <f t="shared" ref="U722" si="221">SUM(U718:U721)</f>
        <v>0</v>
      </c>
      <c r="V722" s="65">
        <f t="shared" ref="V722" si="222">SUM(V718:V721)</f>
        <v>0</v>
      </c>
      <c r="W722" s="65">
        <f t="shared" ref="W722" si="223">SUM(W718:W721)</f>
        <v>0</v>
      </c>
      <c r="X722" s="371"/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53">
        <v>80</v>
      </c>
      <c r="B723" s="447" t="s">
        <v>229</v>
      </c>
      <c r="C723" s="396">
        <v>2024</v>
      </c>
      <c r="D723" s="357">
        <v>2025</v>
      </c>
      <c r="E723" s="437" t="s">
        <v>27</v>
      </c>
      <c r="F723" s="385">
        <f>X723</f>
        <v>0</v>
      </c>
      <c r="G723" s="443">
        <v>90095</v>
      </c>
      <c r="H723" s="89">
        <v>6050</v>
      </c>
      <c r="I723" s="211" t="s">
        <v>28</v>
      </c>
      <c r="J723" s="65"/>
      <c r="K723" s="65"/>
      <c r="L723" s="84"/>
      <c r="M723" s="299">
        <v>0</v>
      </c>
      <c r="N723" s="84"/>
      <c r="O723" s="62"/>
      <c r="P723" s="62"/>
      <c r="Q723" s="62"/>
      <c r="R723" s="62"/>
      <c r="S723" s="62"/>
      <c r="T723" s="62"/>
      <c r="U723" s="62"/>
      <c r="V723" s="62"/>
      <c r="W723" s="62"/>
      <c r="X723" s="371">
        <f>SUM(L727:P727)</f>
        <v>0</v>
      </c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53"/>
      <c r="B724" s="447"/>
      <c r="C724" s="396"/>
      <c r="D724" s="357"/>
      <c r="E724" s="437"/>
      <c r="F724" s="385"/>
      <c r="G724" s="443"/>
      <c r="H724" s="86"/>
      <c r="I724" s="211" t="s">
        <v>31</v>
      </c>
      <c r="J724" s="65"/>
      <c r="K724" s="65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371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53"/>
      <c r="B725" s="447"/>
      <c r="C725" s="396"/>
      <c r="D725" s="357"/>
      <c r="E725" s="437"/>
      <c r="F725" s="385"/>
      <c r="G725" s="443"/>
      <c r="H725" s="86"/>
      <c r="I725" s="211" t="s">
        <v>30</v>
      </c>
      <c r="J725" s="65"/>
      <c r="K725" s="65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71"/>
      <c r="Y725" s="142"/>
      <c r="Z725" s="96"/>
      <c r="AA725" s="96"/>
      <c r="AB725" s="96"/>
      <c r="AC725" s="96"/>
      <c r="AD725" s="96"/>
      <c r="AE725" s="96"/>
      <c r="AF725" s="96"/>
      <c r="AG725" s="96"/>
      <c r="AH725" s="96"/>
      <c r="AI725" s="96"/>
      <c r="AJ725" s="96"/>
      <c r="AK725" s="96"/>
      <c r="AL725" s="96"/>
      <c r="AM725" s="96"/>
      <c r="AN725" s="96"/>
      <c r="AO725" s="96"/>
      <c r="AP725" s="96"/>
      <c r="AQ725" s="96"/>
      <c r="AR725" s="96"/>
      <c r="AS725" s="96"/>
      <c r="AT725" s="96"/>
      <c r="AU725" s="96"/>
      <c r="AV725" s="96"/>
      <c r="AW725" s="96"/>
      <c r="AX725" s="96"/>
      <c r="AY725" s="96"/>
      <c r="AZ725" s="96"/>
      <c r="BA725" s="96"/>
      <c r="BB725" s="96"/>
      <c r="BC725" s="96"/>
      <c r="BD725" s="96"/>
      <c r="BE725" s="96"/>
      <c r="BF725" s="96"/>
      <c r="BG725" s="96"/>
      <c r="BH725" s="96"/>
      <c r="BI725" s="96"/>
      <c r="BJ725" s="96"/>
      <c r="BK725" s="96"/>
      <c r="BL725" s="96"/>
      <c r="BM725" s="96"/>
      <c r="BN725" s="96"/>
      <c r="BO725" s="96"/>
      <c r="BP725" s="96"/>
      <c r="BQ725" s="96"/>
      <c r="BR725" s="96"/>
      <c r="BS725" s="96"/>
      <c r="BT725" s="96"/>
      <c r="BU725" s="96"/>
      <c r="BV725" s="96"/>
      <c r="BW725" s="96"/>
      <c r="BX725" s="96"/>
      <c r="BY725" s="96"/>
      <c r="BZ725" s="96"/>
      <c r="CA725" s="96"/>
      <c r="CB725" s="96"/>
      <c r="CC725" s="96"/>
      <c r="CD725" s="96"/>
      <c r="CE725" s="96"/>
      <c r="CF725" s="96"/>
      <c r="CG725" s="96"/>
      <c r="CH725" s="96"/>
      <c r="CI725" s="96"/>
      <c r="CJ725" s="96"/>
      <c r="CK725" s="96"/>
      <c r="CL725" s="96"/>
      <c r="CM725" s="96"/>
      <c r="CN725" s="96"/>
      <c r="CO725" s="96"/>
      <c r="CP725" s="96"/>
      <c r="CQ725" s="96"/>
      <c r="CR725" s="96"/>
      <c r="CS725" s="96"/>
      <c r="CT725" s="96"/>
      <c r="CU725" s="96"/>
      <c r="CV725" s="96"/>
      <c r="CW725" s="96"/>
      <c r="CX725" s="96"/>
      <c r="CY725" s="96"/>
      <c r="CZ725" s="96"/>
      <c r="DA725" s="96"/>
      <c r="DB725" s="96"/>
      <c r="DC725" s="96"/>
      <c r="DD725" s="96"/>
      <c r="DE725" s="96"/>
      <c r="DF725" s="96"/>
      <c r="DG725" s="96"/>
      <c r="DH725" s="96"/>
      <c r="DI725" s="96"/>
      <c r="DJ725" s="96"/>
      <c r="DK725" s="96"/>
      <c r="DL725" s="96"/>
      <c r="DM725" s="96"/>
      <c r="DN725" s="96"/>
      <c r="DO725" s="96"/>
      <c r="DP725" s="96"/>
      <c r="DQ725" s="96"/>
      <c r="DR725" s="96"/>
      <c r="DS725" s="96"/>
      <c r="DT725" s="96"/>
      <c r="DU725" s="96"/>
      <c r="DV725" s="96"/>
      <c r="DW725" s="96"/>
      <c r="DX725" s="96"/>
      <c r="DY725" s="96"/>
      <c r="DZ725" s="96"/>
      <c r="EA725" s="96"/>
      <c r="EB725" s="96"/>
      <c r="EC725" s="96"/>
      <c r="ED725" s="96"/>
      <c r="EE725" s="96"/>
      <c r="EF725" s="96"/>
      <c r="EG725" s="96"/>
      <c r="EH725" s="96"/>
      <c r="EI725" s="96"/>
      <c r="EJ725" s="96"/>
      <c r="EK725" s="96"/>
      <c r="EL725" s="96"/>
      <c r="EM725" s="96"/>
      <c r="EN725" s="96"/>
      <c r="EO725" s="96"/>
      <c r="EP725" s="96"/>
      <c r="EQ725" s="96"/>
      <c r="ER725" s="96"/>
      <c r="ES725" s="96"/>
      <c r="ET725" s="96"/>
      <c r="EU725" s="96"/>
      <c r="EV725" s="96"/>
      <c r="EW725" s="96"/>
      <c r="EX725" s="96"/>
      <c r="EY725" s="96"/>
      <c r="EZ725" s="96"/>
      <c r="FA725" s="96"/>
      <c r="FB725" s="96"/>
      <c r="FC725" s="96"/>
      <c r="FD725" s="96"/>
      <c r="FE725" s="96"/>
      <c r="FF725" s="96"/>
      <c r="FG725" s="96"/>
      <c r="FH725" s="96"/>
      <c r="FI725" s="96"/>
      <c r="FJ725" s="96"/>
      <c r="FK725" s="96"/>
      <c r="FL725" s="96"/>
      <c r="FM725" s="96"/>
      <c r="FN725" s="96"/>
      <c r="FO725" s="96"/>
      <c r="FP725" s="96"/>
      <c r="FQ725" s="96"/>
      <c r="FR725" s="96"/>
      <c r="FS725" s="96"/>
      <c r="FT725" s="96"/>
      <c r="FU725" s="96"/>
      <c r="FV725" s="96"/>
      <c r="FW725" s="96"/>
      <c r="FX725" s="96"/>
      <c r="FY725" s="96"/>
      <c r="FZ725" s="96"/>
      <c r="GA725" s="96"/>
      <c r="GB725" s="96"/>
      <c r="GC725" s="96"/>
      <c r="GD725" s="96"/>
      <c r="GE725" s="96"/>
      <c r="GF725" s="96"/>
      <c r="GG725" s="96"/>
      <c r="GH725" s="96"/>
      <c r="GI725" s="96"/>
      <c r="GJ725" s="96"/>
      <c r="GK725" s="96"/>
      <c r="GL725" s="96"/>
      <c r="GM725" s="96"/>
      <c r="GN725" s="96"/>
      <c r="GO725" s="96"/>
      <c r="GP725" s="96"/>
    </row>
    <row r="726" spans="1:198" ht="13.5" hidden="1" customHeight="1">
      <c r="A726" s="353"/>
      <c r="B726" s="447"/>
      <c r="C726" s="396"/>
      <c r="D726" s="357"/>
      <c r="E726" s="437"/>
      <c r="F726" s="385"/>
      <c r="G726" s="443"/>
      <c r="H726" s="86">
        <v>6050</v>
      </c>
      <c r="I726" s="60" t="s">
        <v>70</v>
      </c>
      <c r="J726" s="65"/>
      <c r="K726" s="65"/>
      <c r="L726" s="84">
        <v>0</v>
      </c>
      <c r="M726" s="299">
        <v>0</v>
      </c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371"/>
      <c r="Y726" s="142"/>
      <c r="Z726" s="96"/>
      <c r="AA726" s="96"/>
      <c r="AB726" s="96"/>
      <c r="AC726" s="96"/>
      <c r="AD726" s="96"/>
      <c r="AE726" s="96"/>
      <c r="AF726" s="96"/>
      <c r="AG726" s="96"/>
      <c r="AH726" s="96"/>
      <c r="AI726" s="96"/>
      <c r="AJ726" s="96"/>
      <c r="AK726" s="96"/>
      <c r="AL726" s="96"/>
      <c r="AM726" s="96"/>
      <c r="AN726" s="96"/>
      <c r="AO726" s="96"/>
      <c r="AP726" s="96"/>
      <c r="AQ726" s="96"/>
      <c r="AR726" s="96"/>
      <c r="AS726" s="96"/>
      <c r="AT726" s="96"/>
      <c r="AU726" s="96"/>
      <c r="AV726" s="96"/>
      <c r="AW726" s="96"/>
      <c r="AX726" s="96"/>
      <c r="AY726" s="96"/>
      <c r="AZ726" s="96"/>
      <c r="BA726" s="96"/>
      <c r="BB726" s="96"/>
      <c r="BC726" s="96"/>
      <c r="BD726" s="96"/>
      <c r="BE726" s="96"/>
      <c r="BF726" s="96"/>
      <c r="BG726" s="96"/>
      <c r="BH726" s="96"/>
      <c r="BI726" s="96"/>
      <c r="BJ726" s="96"/>
      <c r="BK726" s="96"/>
      <c r="BL726" s="96"/>
      <c r="BM726" s="96"/>
      <c r="BN726" s="96"/>
      <c r="BO726" s="96"/>
      <c r="BP726" s="96"/>
      <c r="BQ726" s="96"/>
      <c r="BR726" s="96"/>
      <c r="BS726" s="96"/>
      <c r="BT726" s="96"/>
      <c r="BU726" s="96"/>
      <c r="BV726" s="96"/>
      <c r="BW726" s="96"/>
      <c r="BX726" s="96"/>
      <c r="BY726" s="96"/>
      <c r="BZ726" s="96"/>
      <c r="CA726" s="96"/>
      <c r="CB726" s="96"/>
      <c r="CC726" s="96"/>
      <c r="CD726" s="96"/>
      <c r="CE726" s="96"/>
      <c r="CF726" s="96"/>
      <c r="CG726" s="96"/>
      <c r="CH726" s="96"/>
      <c r="CI726" s="96"/>
      <c r="CJ726" s="96"/>
      <c r="CK726" s="96"/>
      <c r="CL726" s="96"/>
      <c r="CM726" s="96"/>
      <c r="CN726" s="96"/>
      <c r="CO726" s="96"/>
      <c r="CP726" s="96"/>
      <c r="CQ726" s="96"/>
      <c r="CR726" s="96"/>
      <c r="CS726" s="96"/>
      <c r="CT726" s="96"/>
      <c r="CU726" s="96"/>
      <c r="CV726" s="96"/>
      <c r="CW726" s="96"/>
      <c r="CX726" s="96"/>
      <c r="CY726" s="96"/>
      <c r="CZ726" s="96"/>
      <c r="DA726" s="96"/>
      <c r="DB726" s="96"/>
      <c r="DC726" s="96"/>
      <c r="DD726" s="96"/>
      <c r="DE726" s="96"/>
      <c r="DF726" s="96"/>
      <c r="DG726" s="96"/>
      <c r="DH726" s="96"/>
      <c r="DI726" s="96"/>
      <c r="DJ726" s="96"/>
      <c r="DK726" s="96"/>
      <c r="DL726" s="96"/>
      <c r="DM726" s="96"/>
      <c r="DN726" s="96"/>
      <c r="DO726" s="96"/>
      <c r="DP726" s="96"/>
      <c r="DQ726" s="96"/>
      <c r="DR726" s="96"/>
      <c r="DS726" s="96"/>
      <c r="DT726" s="96"/>
      <c r="DU726" s="96"/>
      <c r="DV726" s="96"/>
      <c r="DW726" s="96"/>
      <c r="DX726" s="96"/>
      <c r="DY726" s="96"/>
      <c r="DZ726" s="96"/>
      <c r="EA726" s="96"/>
      <c r="EB726" s="96"/>
      <c r="EC726" s="96"/>
      <c r="ED726" s="96"/>
      <c r="EE726" s="96"/>
      <c r="EF726" s="96"/>
      <c r="EG726" s="96"/>
      <c r="EH726" s="96"/>
      <c r="EI726" s="96"/>
      <c r="EJ726" s="96"/>
      <c r="EK726" s="96"/>
      <c r="EL726" s="96"/>
      <c r="EM726" s="96"/>
      <c r="EN726" s="96"/>
      <c r="EO726" s="96"/>
      <c r="EP726" s="96"/>
      <c r="EQ726" s="96"/>
      <c r="ER726" s="96"/>
      <c r="ES726" s="96"/>
      <c r="ET726" s="96"/>
      <c r="EU726" s="96"/>
      <c r="EV726" s="96"/>
      <c r="EW726" s="96"/>
      <c r="EX726" s="96"/>
      <c r="EY726" s="96"/>
      <c r="EZ726" s="96"/>
      <c r="FA726" s="96"/>
      <c r="FB726" s="96"/>
      <c r="FC726" s="96"/>
      <c r="FD726" s="96"/>
      <c r="FE726" s="96"/>
      <c r="FF726" s="96"/>
      <c r="FG726" s="96"/>
      <c r="FH726" s="96"/>
      <c r="FI726" s="96"/>
      <c r="FJ726" s="96"/>
      <c r="FK726" s="96"/>
      <c r="FL726" s="96"/>
      <c r="FM726" s="96"/>
      <c r="FN726" s="96"/>
      <c r="FO726" s="96"/>
      <c r="FP726" s="96"/>
      <c r="FQ726" s="96"/>
      <c r="FR726" s="96"/>
      <c r="FS726" s="96"/>
      <c r="FT726" s="96"/>
      <c r="FU726" s="96"/>
      <c r="FV726" s="96"/>
      <c r="FW726" s="96"/>
      <c r="FX726" s="96"/>
      <c r="FY726" s="96"/>
      <c r="FZ726" s="96"/>
      <c r="GA726" s="96"/>
      <c r="GB726" s="96"/>
      <c r="GC726" s="96"/>
      <c r="GD726" s="96"/>
      <c r="GE726" s="96"/>
      <c r="GF726" s="96"/>
      <c r="GG726" s="96"/>
      <c r="GH726" s="96"/>
      <c r="GI726" s="96"/>
      <c r="GJ726" s="96"/>
      <c r="GK726" s="96"/>
      <c r="GL726" s="96"/>
      <c r="GM726" s="96"/>
      <c r="GN726" s="96"/>
      <c r="GO726" s="96"/>
      <c r="GP726" s="96"/>
    </row>
    <row r="727" spans="1:198" ht="13.5" hidden="1" customHeight="1">
      <c r="A727" s="353"/>
      <c r="B727" s="447"/>
      <c r="C727" s="396"/>
      <c r="D727" s="357"/>
      <c r="E727" s="437"/>
      <c r="F727" s="385"/>
      <c r="G727" s="443"/>
      <c r="H727" s="86"/>
      <c r="I727" s="64" t="s">
        <v>26</v>
      </c>
      <c r="J727" s="65"/>
      <c r="K727" s="65"/>
      <c r="L727" s="65">
        <f>SUM(L723:L726)</f>
        <v>0</v>
      </c>
      <c r="M727" s="65">
        <f t="shared" ref="M727" si="224">SUM(M723:M726)</f>
        <v>0</v>
      </c>
      <c r="N727" s="65">
        <f t="shared" ref="N727" si="225">SUM(N723:N726)</f>
        <v>0</v>
      </c>
      <c r="O727" s="65">
        <f t="shared" ref="O727" si="226">SUM(O723:O726)</f>
        <v>0</v>
      </c>
      <c r="P727" s="65">
        <f t="shared" ref="P727" si="227">SUM(P723:P726)</f>
        <v>0</v>
      </c>
      <c r="Q727" s="65">
        <f t="shared" ref="Q727" si="228">SUM(Q723:Q726)</f>
        <v>0</v>
      </c>
      <c r="R727" s="65">
        <f t="shared" ref="R727" si="229">SUM(R723:R726)</f>
        <v>0</v>
      </c>
      <c r="S727" s="65">
        <f t="shared" ref="S727" si="230">SUM(S723:S726)</f>
        <v>0</v>
      </c>
      <c r="T727" s="65">
        <f t="shared" ref="T727" si="231">SUM(T723:T726)</f>
        <v>0</v>
      </c>
      <c r="U727" s="65">
        <f t="shared" ref="U727" si="232">SUM(U723:U726)</f>
        <v>0</v>
      </c>
      <c r="V727" s="65">
        <f t="shared" ref="V727" si="233">SUM(V723:V726)</f>
        <v>0</v>
      </c>
      <c r="W727" s="65">
        <f t="shared" ref="W727" si="234">SUM(W723:W726)</f>
        <v>0</v>
      </c>
      <c r="X727" s="371"/>
      <c r="Y727" s="142"/>
      <c r="Z727" s="96"/>
      <c r="AA727" s="96"/>
      <c r="AB727" s="96"/>
      <c r="AC727" s="96"/>
      <c r="AD727" s="96"/>
      <c r="AE727" s="96"/>
      <c r="AF727" s="96"/>
      <c r="AG727" s="96"/>
      <c r="AH727" s="96"/>
      <c r="AI727" s="96"/>
      <c r="AJ727" s="96"/>
      <c r="AK727" s="96"/>
      <c r="AL727" s="96"/>
      <c r="AM727" s="96"/>
      <c r="AN727" s="96"/>
      <c r="AO727" s="96"/>
      <c r="AP727" s="96"/>
      <c r="AQ727" s="96"/>
      <c r="AR727" s="96"/>
      <c r="AS727" s="96"/>
      <c r="AT727" s="96"/>
      <c r="AU727" s="96"/>
      <c r="AV727" s="96"/>
      <c r="AW727" s="96"/>
      <c r="AX727" s="96"/>
      <c r="AY727" s="96"/>
      <c r="AZ727" s="96"/>
      <c r="BA727" s="96"/>
      <c r="BB727" s="96"/>
      <c r="BC727" s="96"/>
      <c r="BD727" s="96"/>
      <c r="BE727" s="96"/>
      <c r="BF727" s="96"/>
      <c r="BG727" s="96"/>
      <c r="BH727" s="96"/>
      <c r="BI727" s="96"/>
      <c r="BJ727" s="96"/>
      <c r="BK727" s="96"/>
      <c r="BL727" s="96"/>
      <c r="BM727" s="96"/>
      <c r="BN727" s="96"/>
      <c r="BO727" s="96"/>
      <c r="BP727" s="96"/>
      <c r="BQ727" s="96"/>
      <c r="BR727" s="96"/>
      <c r="BS727" s="96"/>
      <c r="BT727" s="96"/>
      <c r="BU727" s="96"/>
      <c r="BV727" s="96"/>
      <c r="BW727" s="96"/>
      <c r="BX727" s="96"/>
      <c r="BY727" s="96"/>
      <c r="BZ727" s="96"/>
      <c r="CA727" s="96"/>
      <c r="CB727" s="96"/>
      <c r="CC727" s="96"/>
      <c r="CD727" s="96"/>
      <c r="CE727" s="96"/>
      <c r="CF727" s="96"/>
      <c r="CG727" s="96"/>
      <c r="CH727" s="96"/>
      <c r="CI727" s="96"/>
      <c r="CJ727" s="96"/>
      <c r="CK727" s="96"/>
      <c r="CL727" s="96"/>
      <c r="CM727" s="96"/>
      <c r="CN727" s="96"/>
      <c r="CO727" s="96"/>
      <c r="CP727" s="96"/>
      <c r="CQ727" s="96"/>
      <c r="CR727" s="96"/>
      <c r="CS727" s="96"/>
      <c r="CT727" s="96"/>
      <c r="CU727" s="96"/>
      <c r="CV727" s="96"/>
      <c r="CW727" s="96"/>
      <c r="CX727" s="96"/>
      <c r="CY727" s="96"/>
      <c r="CZ727" s="96"/>
      <c r="DA727" s="96"/>
      <c r="DB727" s="96"/>
      <c r="DC727" s="96"/>
      <c r="DD727" s="96"/>
      <c r="DE727" s="96"/>
      <c r="DF727" s="96"/>
      <c r="DG727" s="96"/>
      <c r="DH727" s="96"/>
      <c r="DI727" s="96"/>
      <c r="DJ727" s="96"/>
      <c r="DK727" s="96"/>
      <c r="DL727" s="96"/>
      <c r="DM727" s="96"/>
      <c r="DN727" s="96"/>
      <c r="DO727" s="96"/>
      <c r="DP727" s="96"/>
      <c r="DQ727" s="96"/>
      <c r="DR727" s="96"/>
      <c r="DS727" s="96"/>
      <c r="DT727" s="96"/>
      <c r="DU727" s="96"/>
      <c r="DV727" s="96"/>
      <c r="DW727" s="96"/>
      <c r="DX727" s="96"/>
      <c r="DY727" s="96"/>
      <c r="DZ727" s="96"/>
      <c r="EA727" s="96"/>
      <c r="EB727" s="96"/>
      <c r="EC727" s="96"/>
      <c r="ED727" s="96"/>
      <c r="EE727" s="96"/>
      <c r="EF727" s="96"/>
      <c r="EG727" s="96"/>
      <c r="EH727" s="96"/>
      <c r="EI727" s="96"/>
      <c r="EJ727" s="96"/>
      <c r="EK727" s="96"/>
      <c r="EL727" s="96"/>
      <c r="EM727" s="96"/>
      <c r="EN727" s="96"/>
      <c r="EO727" s="96"/>
      <c r="EP727" s="96"/>
      <c r="EQ727" s="96"/>
      <c r="ER727" s="96"/>
      <c r="ES727" s="96"/>
      <c r="ET727" s="96"/>
      <c r="EU727" s="96"/>
      <c r="EV727" s="96"/>
      <c r="EW727" s="96"/>
      <c r="EX727" s="96"/>
      <c r="EY727" s="96"/>
      <c r="EZ727" s="96"/>
      <c r="FA727" s="96"/>
      <c r="FB727" s="96"/>
      <c r="FC727" s="96"/>
      <c r="FD727" s="96"/>
      <c r="FE727" s="96"/>
      <c r="FF727" s="96"/>
      <c r="FG727" s="96"/>
      <c r="FH727" s="96"/>
      <c r="FI727" s="96"/>
      <c r="FJ727" s="96"/>
      <c r="FK727" s="96"/>
      <c r="FL727" s="96"/>
      <c r="FM727" s="96"/>
      <c r="FN727" s="96"/>
      <c r="FO727" s="96"/>
      <c r="FP727" s="96"/>
      <c r="FQ727" s="96"/>
      <c r="FR727" s="96"/>
      <c r="FS727" s="96"/>
      <c r="FT727" s="96"/>
      <c r="FU727" s="96"/>
      <c r="FV727" s="96"/>
      <c r="FW727" s="96"/>
      <c r="FX727" s="96"/>
      <c r="FY727" s="96"/>
      <c r="FZ727" s="96"/>
      <c r="GA727" s="96"/>
      <c r="GB727" s="96"/>
      <c r="GC727" s="96"/>
      <c r="GD727" s="96"/>
      <c r="GE727" s="96"/>
      <c r="GF727" s="96"/>
      <c r="GG727" s="96"/>
      <c r="GH727" s="96"/>
      <c r="GI727" s="96"/>
      <c r="GJ727" s="96"/>
      <c r="GK727" s="96"/>
      <c r="GL727" s="96"/>
      <c r="GM727" s="96"/>
      <c r="GN727" s="96"/>
      <c r="GO727" s="96"/>
      <c r="GP727" s="96"/>
    </row>
    <row r="728" spans="1:198" ht="13.5" hidden="1" customHeight="1">
      <c r="A728" s="421">
        <v>54</v>
      </c>
      <c r="B728" s="526" t="s">
        <v>183</v>
      </c>
      <c r="C728" s="568">
        <v>2020</v>
      </c>
      <c r="D728" s="430">
        <v>2023</v>
      </c>
      <c r="E728" s="437" t="s">
        <v>152</v>
      </c>
      <c r="F728" s="444">
        <f>X728</f>
        <v>0</v>
      </c>
      <c r="G728" s="443">
        <v>90095</v>
      </c>
      <c r="H728" s="86">
        <v>6050</v>
      </c>
      <c r="I728" s="58" t="s">
        <v>28</v>
      </c>
      <c r="J728" s="62"/>
      <c r="K728" s="62"/>
      <c r="L728" s="84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71">
        <f>SUM(L732:P732)</f>
        <v>0</v>
      </c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422"/>
      <c r="B729" s="527"/>
      <c r="C729" s="569"/>
      <c r="D729" s="431"/>
      <c r="E729" s="437"/>
      <c r="F729" s="445"/>
      <c r="G729" s="443"/>
      <c r="H729" s="86"/>
      <c r="I729" s="58" t="s">
        <v>31</v>
      </c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371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422"/>
      <c r="B730" s="527"/>
      <c r="C730" s="569"/>
      <c r="D730" s="431"/>
      <c r="E730" s="437"/>
      <c r="F730" s="445"/>
      <c r="G730" s="443"/>
      <c r="H730" s="86"/>
      <c r="I730" s="58" t="s">
        <v>30</v>
      </c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371"/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422"/>
      <c r="B731" s="527"/>
      <c r="C731" s="569"/>
      <c r="D731" s="431"/>
      <c r="E731" s="437"/>
      <c r="F731" s="445"/>
      <c r="G731" s="443"/>
      <c r="H731" s="86">
        <v>6050</v>
      </c>
      <c r="I731" s="61" t="s">
        <v>70</v>
      </c>
      <c r="J731" s="62"/>
      <c r="K731" s="62"/>
      <c r="L731" s="84"/>
      <c r="M731" s="84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371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423"/>
      <c r="B732" s="528"/>
      <c r="C732" s="570"/>
      <c r="D732" s="432"/>
      <c r="E732" s="437"/>
      <c r="F732" s="446"/>
      <c r="G732" s="443"/>
      <c r="I732" s="64" t="s">
        <v>26</v>
      </c>
      <c r="J732" s="65"/>
      <c r="K732" s="65"/>
      <c r="L732" s="65">
        <f>SUM(L728:L731)</f>
        <v>0</v>
      </c>
      <c r="M732" s="65">
        <f t="shared" ref="M732:W732" si="235">SUM(M728:M731)</f>
        <v>0</v>
      </c>
      <c r="N732" s="65">
        <f t="shared" si="235"/>
        <v>0</v>
      </c>
      <c r="O732" s="65">
        <f t="shared" si="235"/>
        <v>0</v>
      </c>
      <c r="P732" s="65">
        <f t="shared" si="235"/>
        <v>0</v>
      </c>
      <c r="Q732" s="65">
        <f t="shared" si="235"/>
        <v>0</v>
      </c>
      <c r="R732" s="65">
        <f t="shared" si="235"/>
        <v>0</v>
      </c>
      <c r="S732" s="65">
        <f t="shared" si="235"/>
        <v>0</v>
      </c>
      <c r="T732" s="65">
        <f t="shared" si="235"/>
        <v>0</v>
      </c>
      <c r="U732" s="65">
        <f t="shared" si="235"/>
        <v>0</v>
      </c>
      <c r="V732" s="65">
        <f t="shared" si="235"/>
        <v>0</v>
      </c>
      <c r="W732" s="65">
        <f t="shared" si="235"/>
        <v>0</v>
      </c>
      <c r="X732" s="371"/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421">
        <v>82</v>
      </c>
      <c r="B733" s="376" t="s">
        <v>141</v>
      </c>
      <c r="C733" s="384">
        <v>2020</v>
      </c>
      <c r="D733" s="384">
        <v>2022</v>
      </c>
      <c r="E733" s="478" t="s">
        <v>172</v>
      </c>
      <c r="F733" s="367">
        <f>X733</f>
        <v>0</v>
      </c>
      <c r="G733" s="435">
        <v>90095</v>
      </c>
      <c r="I733" s="60" t="s">
        <v>28</v>
      </c>
      <c r="J733" s="77">
        <f>761165-761165</f>
        <v>0</v>
      </c>
      <c r="K733" s="77">
        <f>2165741-2165741</f>
        <v>0</v>
      </c>
      <c r="L733" s="87"/>
      <c r="M733" s="87"/>
      <c r="N733" s="87"/>
      <c r="O733" s="77"/>
      <c r="P733" s="77"/>
      <c r="Q733" s="77"/>
      <c r="R733" s="77"/>
      <c r="S733" s="77"/>
      <c r="T733" s="77"/>
      <c r="U733" s="77"/>
      <c r="V733" s="77"/>
      <c r="W733" s="77"/>
      <c r="X733" s="371">
        <f>SUM(L737:P737)</f>
        <v>0</v>
      </c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422"/>
      <c r="B734" s="376"/>
      <c r="C734" s="384"/>
      <c r="D734" s="384"/>
      <c r="E734" s="478"/>
      <c r="F734" s="367"/>
      <c r="G734" s="435"/>
      <c r="H734" s="89"/>
      <c r="I734" s="60" t="s">
        <v>31</v>
      </c>
      <c r="J734" s="77"/>
      <c r="K734" s="77"/>
      <c r="L734" s="77"/>
      <c r="M734" s="77"/>
      <c r="N734" s="77"/>
      <c r="O734" s="70"/>
      <c r="P734" s="70"/>
      <c r="Q734" s="70"/>
      <c r="R734" s="70"/>
      <c r="S734" s="70"/>
      <c r="T734" s="70"/>
      <c r="U734" s="70"/>
      <c r="V734" s="70"/>
      <c r="W734" s="70"/>
      <c r="X734" s="371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3.5" hidden="1" customHeight="1">
      <c r="A735" s="422"/>
      <c r="B735" s="376"/>
      <c r="C735" s="384"/>
      <c r="D735" s="384"/>
      <c r="E735" s="478"/>
      <c r="F735" s="367"/>
      <c r="G735" s="435"/>
      <c r="H735" s="89"/>
      <c r="I735" s="61" t="s">
        <v>171</v>
      </c>
      <c r="J735" s="71"/>
      <c r="K735" s="71"/>
      <c r="L735" s="87"/>
      <c r="M735" s="70"/>
      <c r="N735" s="77"/>
      <c r="O735" s="70"/>
      <c r="P735" s="70"/>
      <c r="Q735" s="70"/>
      <c r="R735" s="70"/>
      <c r="S735" s="70"/>
      <c r="T735" s="70"/>
      <c r="U735" s="70"/>
      <c r="V735" s="70"/>
      <c r="W735" s="70"/>
      <c r="X735" s="371"/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3.5" hidden="1" customHeight="1">
      <c r="A736" s="422"/>
      <c r="B736" s="376"/>
      <c r="C736" s="384"/>
      <c r="D736" s="384"/>
      <c r="E736" s="478"/>
      <c r="F736" s="367"/>
      <c r="G736" s="435"/>
      <c r="H736" s="89">
        <v>6050</v>
      </c>
      <c r="I736" s="61" t="s">
        <v>170</v>
      </c>
      <c r="J736" s="71"/>
      <c r="K736" s="71"/>
      <c r="L736" s="87"/>
      <c r="M736" s="70"/>
      <c r="N736" s="77"/>
      <c r="O736" s="70"/>
      <c r="P736" s="70"/>
      <c r="Q736" s="70"/>
      <c r="R736" s="70"/>
      <c r="S736" s="70"/>
      <c r="T736" s="70"/>
      <c r="U736" s="70"/>
      <c r="V736" s="70"/>
      <c r="W736" s="70"/>
      <c r="X736" s="371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3.5" hidden="1" customHeight="1">
      <c r="A737" s="423"/>
      <c r="B737" s="376"/>
      <c r="C737" s="384"/>
      <c r="D737" s="384"/>
      <c r="E737" s="478"/>
      <c r="F737" s="367"/>
      <c r="G737" s="435"/>
      <c r="H737" s="89"/>
      <c r="I737" s="64" t="s">
        <v>26</v>
      </c>
      <c r="J737" s="65">
        <f t="shared" ref="J737:N737" si="236">SUM(J733:J736)</f>
        <v>0</v>
      </c>
      <c r="K737" s="65">
        <f t="shared" si="236"/>
        <v>0</v>
      </c>
      <c r="L737" s="65">
        <f t="shared" si="236"/>
        <v>0</v>
      </c>
      <c r="M737" s="66">
        <f t="shared" si="236"/>
        <v>0</v>
      </c>
      <c r="N737" s="65">
        <f t="shared" si="236"/>
        <v>0</v>
      </c>
      <c r="O737" s="66">
        <f>SUM(O733:O736)</f>
        <v>0</v>
      </c>
      <c r="P737" s="66">
        <f t="shared" ref="P737" si="237">SUM(P733:P736)</f>
        <v>0</v>
      </c>
      <c r="Q737" s="66"/>
      <c r="R737" s="66"/>
      <c r="S737" s="66"/>
      <c r="T737" s="66"/>
      <c r="U737" s="66"/>
      <c r="V737" s="66"/>
      <c r="W737" s="66"/>
      <c r="X737" s="371"/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2" customHeight="1">
      <c r="A738" s="353">
        <v>57</v>
      </c>
      <c r="B738" s="374" t="s">
        <v>195</v>
      </c>
      <c r="C738" s="384">
        <v>2023</v>
      </c>
      <c r="D738" s="384">
        <v>2025</v>
      </c>
      <c r="E738" s="362" t="s">
        <v>260</v>
      </c>
      <c r="F738" s="400">
        <f>528350+X738+401330</f>
        <v>4533150</v>
      </c>
      <c r="G738" s="435">
        <v>90095</v>
      </c>
      <c r="H738" s="89">
        <v>6050</v>
      </c>
      <c r="I738" s="60" t="s">
        <v>28</v>
      </c>
      <c r="J738" s="77">
        <f>761165-761165</f>
        <v>0</v>
      </c>
      <c r="K738" s="77">
        <f>2165741-2165741</f>
        <v>0</v>
      </c>
      <c r="L738" s="87"/>
      <c r="M738" s="326"/>
      <c r="N738" s="87">
        <v>50000</v>
      </c>
      <c r="O738" s="87"/>
      <c r="P738" s="77"/>
      <c r="Q738" s="77"/>
      <c r="R738" s="77"/>
      <c r="S738" s="77"/>
      <c r="T738" s="77"/>
      <c r="U738" s="77"/>
      <c r="V738" s="77"/>
      <c r="W738" s="77"/>
      <c r="X738" s="420">
        <f>SUM(M742:W747)</f>
        <v>3603470</v>
      </c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" customHeight="1">
      <c r="A739" s="353"/>
      <c r="B739" s="374"/>
      <c r="C739" s="384"/>
      <c r="D739" s="384"/>
      <c r="E739" s="362"/>
      <c r="F739" s="400"/>
      <c r="G739" s="435"/>
      <c r="H739" s="89"/>
      <c r="I739" s="60" t="s">
        <v>31</v>
      </c>
      <c r="J739" s="77"/>
      <c r="K739" s="77"/>
      <c r="L739" s="87"/>
      <c r="M739" s="87"/>
      <c r="N739" s="87"/>
      <c r="O739" s="71"/>
      <c r="P739" s="70"/>
      <c r="Q739" s="70"/>
      <c r="R739" s="70"/>
      <c r="S739" s="70"/>
      <c r="T739" s="70"/>
      <c r="U739" s="70"/>
      <c r="V739" s="70"/>
      <c r="W739" s="70"/>
      <c r="X739" s="420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2" customHeight="1">
      <c r="A740" s="353"/>
      <c r="B740" s="374"/>
      <c r="C740" s="384"/>
      <c r="D740" s="384"/>
      <c r="E740" s="362"/>
      <c r="F740" s="400"/>
      <c r="G740" s="435"/>
      <c r="H740" s="89"/>
      <c r="I740" s="60" t="s">
        <v>30</v>
      </c>
      <c r="J740" s="70"/>
      <c r="K740" s="70"/>
      <c r="L740" s="71"/>
      <c r="M740" s="71"/>
      <c r="N740" s="87"/>
      <c r="O740" s="71"/>
      <c r="P740" s="70"/>
      <c r="Q740" s="70"/>
      <c r="R740" s="70"/>
      <c r="S740" s="70"/>
      <c r="T740" s="70"/>
      <c r="U740" s="70"/>
      <c r="V740" s="70"/>
      <c r="W740" s="70"/>
      <c r="X740" s="420"/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5.75" customHeight="1">
      <c r="A741" s="353"/>
      <c r="B741" s="374"/>
      <c r="C741" s="384"/>
      <c r="D741" s="384"/>
      <c r="E741" s="362"/>
      <c r="F741" s="400"/>
      <c r="G741" s="435"/>
      <c r="H741" s="89">
        <v>6370</v>
      </c>
      <c r="I741" s="60" t="s">
        <v>182</v>
      </c>
      <c r="J741" s="70"/>
      <c r="K741" s="70"/>
      <c r="L741" s="87"/>
      <c r="M741" s="87">
        <v>0</v>
      </c>
      <c r="N741" s="87">
        <v>3553470</v>
      </c>
      <c r="O741" s="71"/>
      <c r="P741" s="70"/>
      <c r="Q741" s="70"/>
      <c r="R741" s="70"/>
      <c r="S741" s="70"/>
      <c r="T741" s="70"/>
      <c r="U741" s="70"/>
      <c r="V741" s="70"/>
      <c r="W741" s="70"/>
      <c r="X741" s="420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2.75" customHeight="1">
      <c r="A742" s="353"/>
      <c r="B742" s="374"/>
      <c r="C742" s="384"/>
      <c r="D742" s="384"/>
      <c r="E742" s="362"/>
      <c r="F742" s="400"/>
      <c r="G742" s="435"/>
      <c r="H742" s="89"/>
      <c r="I742" s="64" t="s">
        <v>26</v>
      </c>
      <c r="J742" s="65">
        <f t="shared" ref="J742:N742" si="238">SUM(J738:J741)</f>
        <v>0</v>
      </c>
      <c r="K742" s="65">
        <f t="shared" si="238"/>
        <v>0</v>
      </c>
      <c r="L742" s="65">
        <f t="shared" si="238"/>
        <v>0</v>
      </c>
      <c r="M742" s="66">
        <f t="shared" si="238"/>
        <v>0</v>
      </c>
      <c r="N742" s="65">
        <f t="shared" si="238"/>
        <v>3603470</v>
      </c>
      <c r="O742" s="66">
        <f>SUM(O738:O741)</f>
        <v>0</v>
      </c>
      <c r="P742" s="66">
        <f t="shared" ref="P742" si="239">SUM(P738:P741)</f>
        <v>0</v>
      </c>
      <c r="Q742" s="66"/>
      <c r="R742" s="66"/>
      <c r="S742" s="66"/>
      <c r="T742" s="66"/>
      <c r="U742" s="66"/>
      <c r="V742" s="66"/>
      <c r="W742" s="66"/>
      <c r="X742" s="420"/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53">
        <v>83</v>
      </c>
      <c r="B743" s="376" t="s">
        <v>169</v>
      </c>
      <c r="C743" s="384">
        <v>2019</v>
      </c>
      <c r="D743" s="384">
        <v>2022</v>
      </c>
      <c r="E743" s="478" t="s">
        <v>27</v>
      </c>
      <c r="F743" s="367">
        <f>X743</f>
        <v>0</v>
      </c>
      <c r="G743" s="435">
        <v>90095</v>
      </c>
      <c r="H743" s="89">
        <v>6050</v>
      </c>
      <c r="I743" s="60" t="s">
        <v>28</v>
      </c>
      <c r="J743" s="77">
        <f>761165-761165</f>
        <v>0</v>
      </c>
      <c r="K743" s="77">
        <f>2165741-2165741</f>
        <v>0</v>
      </c>
      <c r="L743" s="87"/>
      <c r="M743" s="87"/>
      <c r="N743" s="87"/>
      <c r="O743" s="77"/>
      <c r="P743" s="77"/>
      <c r="Q743" s="77"/>
      <c r="R743" s="77"/>
      <c r="S743" s="77"/>
      <c r="T743" s="77"/>
      <c r="U743" s="77"/>
      <c r="V743" s="77"/>
      <c r="W743" s="77"/>
      <c r="X743" s="371">
        <f>SUM(M747:W747)</f>
        <v>0</v>
      </c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53"/>
      <c r="B744" s="376"/>
      <c r="C744" s="384"/>
      <c r="D744" s="384"/>
      <c r="E744" s="478"/>
      <c r="F744" s="367"/>
      <c r="G744" s="435"/>
      <c r="H744" s="89"/>
      <c r="I744" s="60" t="s">
        <v>31</v>
      </c>
      <c r="J744" s="77"/>
      <c r="K744" s="77"/>
      <c r="L744" s="87"/>
      <c r="M744" s="87"/>
      <c r="N744" s="87"/>
      <c r="O744" s="70"/>
      <c r="P744" s="70"/>
      <c r="Q744" s="70"/>
      <c r="R744" s="70"/>
      <c r="S744" s="70"/>
      <c r="T744" s="70"/>
      <c r="U744" s="70"/>
      <c r="V744" s="70"/>
      <c r="W744" s="70"/>
      <c r="X744" s="371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53"/>
      <c r="B745" s="376"/>
      <c r="C745" s="384"/>
      <c r="D745" s="384"/>
      <c r="E745" s="478"/>
      <c r="F745" s="367"/>
      <c r="G745" s="435"/>
      <c r="H745" s="89"/>
      <c r="I745" s="60" t="s">
        <v>30</v>
      </c>
      <c r="J745" s="70"/>
      <c r="K745" s="70"/>
      <c r="L745" s="71"/>
      <c r="M745" s="71"/>
      <c r="N745" s="87"/>
      <c r="O745" s="70"/>
      <c r="P745" s="70"/>
      <c r="Q745" s="70"/>
      <c r="R745" s="70"/>
      <c r="S745" s="70"/>
      <c r="T745" s="70"/>
      <c r="U745" s="70"/>
      <c r="V745" s="70"/>
      <c r="W745" s="70"/>
      <c r="X745" s="371"/>
      <c r="Y745" s="149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  <c r="EC745" s="150"/>
      <c r="ED745" s="150"/>
      <c r="EE745" s="150"/>
      <c r="EF745" s="150"/>
      <c r="EG745" s="150"/>
      <c r="EH745" s="150"/>
      <c r="EI745" s="150"/>
      <c r="EJ745" s="150"/>
      <c r="EK745" s="150"/>
      <c r="EL745" s="150"/>
      <c r="EM745" s="150"/>
      <c r="EN745" s="150"/>
      <c r="EO745" s="150"/>
      <c r="EP745" s="150"/>
      <c r="EQ745" s="150"/>
      <c r="ER745" s="150"/>
      <c r="ES745" s="150"/>
      <c r="ET745" s="150"/>
      <c r="EU745" s="150"/>
      <c r="EV745" s="150"/>
      <c r="EW745" s="150"/>
      <c r="EX745" s="150"/>
      <c r="EY745" s="150"/>
      <c r="EZ745" s="150"/>
      <c r="FA745" s="150"/>
      <c r="FB745" s="150"/>
      <c r="FC745" s="150"/>
      <c r="FD745" s="150"/>
      <c r="FE745" s="150"/>
      <c r="FF745" s="150"/>
      <c r="FG745" s="150"/>
      <c r="FH745" s="150"/>
      <c r="FI745" s="150"/>
      <c r="FJ745" s="150"/>
      <c r="FK745" s="150"/>
      <c r="FL745" s="150"/>
      <c r="FM745" s="150"/>
      <c r="FN745" s="150"/>
      <c r="FO745" s="150"/>
      <c r="FP745" s="150"/>
      <c r="FQ745" s="150"/>
      <c r="FR745" s="150"/>
      <c r="FS745" s="150"/>
      <c r="FT745" s="150"/>
      <c r="FU745" s="150"/>
      <c r="FV745" s="150"/>
      <c r="FW745" s="150"/>
      <c r="FX745" s="150"/>
      <c r="FY745" s="150"/>
      <c r="FZ745" s="150"/>
      <c r="GA745" s="150"/>
      <c r="GB745" s="150"/>
      <c r="GC745" s="150"/>
      <c r="GD745" s="150"/>
      <c r="GE745" s="150"/>
      <c r="GF745" s="150"/>
      <c r="GG745" s="150"/>
      <c r="GH745" s="150"/>
      <c r="GI745" s="150"/>
      <c r="GJ745" s="150"/>
      <c r="GK745" s="150"/>
      <c r="GL745" s="150"/>
      <c r="GM745" s="150"/>
      <c r="GN745" s="150"/>
      <c r="GO745" s="96"/>
      <c r="GP745" s="96"/>
    </row>
    <row r="746" spans="1:198" ht="13.5" hidden="1" customHeight="1">
      <c r="A746" s="353"/>
      <c r="B746" s="376"/>
      <c r="C746" s="384"/>
      <c r="D746" s="384"/>
      <c r="E746" s="478"/>
      <c r="F746" s="367"/>
      <c r="G746" s="435"/>
      <c r="H746" s="89"/>
      <c r="I746" s="60" t="s">
        <v>135</v>
      </c>
      <c r="J746" s="70"/>
      <c r="K746" s="70"/>
      <c r="L746" s="87"/>
      <c r="M746" s="71"/>
      <c r="N746" s="87"/>
      <c r="O746" s="70"/>
      <c r="P746" s="70"/>
      <c r="Q746" s="70"/>
      <c r="R746" s="70"/>
      <c r="S746" s="70"/>
      <c r="T746" s="70"/>
      <c r="U746" s="70"/>
      <c r="V746" s="70"/>
      <c r="W746" s="70"/>
      <c r="X746" s="371"/>
      <c r="Y746" s="149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  <c r="EC746" s="150"/>
      <c r="ED746" s="150"/>
      <c r="EE746" s="150"/>
      <c r="EF746" s="150"/>
      <c r="EG746" s="150"/>
      <c r="EH746" s="150"/>
      <c r="EI746" s="150"/>
      <c r="EJ746" s="150"/>
      <c r="EK746" s="150"/>
      <c r="EL746" s="150"/>
      <c r="EM746" s="150"/>
      <c r="EN746" s="150"/>
      <c r="EO746" s="150"/>
      <c r="EP746" s="150"/>
      <c r="EQ746" s="150"/>
      <c r="ER746" s="150"/>
      <c r="ES746" s="150"/>
      <c r="ET746" s="150"/>
      <c r="EU746" s="150"/>
      <c r="EV746" s="150"/>
      <c r="EW746" s="150"/>
      <c r="EX746" s="150"/>
      <c r="EY746" s="150"/>
      <c r="EZ746" s="150"/>
      <c r="FA746" s="150"/>
      <c r="FB746" s="150"/>
      <c r="FC746" s="150"/>
      <c r="FD746" s="150"/>
      <c r="FE746" s="150"/>
      <c r="FF746" s="150"/>
      <c r="FG746" s="150"/>
      <c r="FH746" s="150"/>
      <c r="FI746" s="150"/>
      <c r="FJ746" s="150"/>
      <c r="FK746" s="150"/>
      <c r="FL746" s="150"/>
      <c r="FM746" s="150"/>
      <c r="FN746" s="150"/>
      <c r="FO746" s="150"/>
      <c r="FP746" s="150"/>
      <c r="FQ746" s="150"/>
      <c r="FR746" s="150"/>
      <c r="FS746" s="150"/>
      <c r="FT746" s="150"/>
      <c r="FU746" s="150"/>
      <c r="FV746" s="150"/>
      <c r="FW746" s="150"/>
      <c r="FX746" s="150"/>
      <c r="FY746" s="150"/>
      <c r="FZ746" s="150"/>
      <c r="GA746" s="150"/>
      <c r="GB746" s="150"/>
      <c r="GC746" s="150"/>
      <c r="GD746" s="150"/>
      <c r="GE746" s="150"/>
      <c r="GF746" s="150"/>
      <c r="GG746" s="150"/>
      <c r="GH746" s="150"/>
      <c r="GI746" s="150"/>
      <c r="GJ746" s="150"/>
      <c r="GK746" s="150"/>
      <c r="GL746" s="150"/>
      <c r="GM746" s="150"/>
      <c r="GN746" s="150"/>
      <c r="GO746" s="96"/>
      <c r="GP746" s="96"/>
    </row>
    <row r="747" spans="1:198" ht="13.5" hidden="1" customHeight="1">
      <c r="A747" s="353"/>
      <c r="B747" s="376"/>
      <c r="C747" s="384"/>
      <c r="D747" s="384"/>
      <c r="E747" s="478"/>
      <c r="F747" s="367"/>
      <c r="G747" s="435"/>
      <c r="H747" s="89"/>
      <c r="I747" s="64" t="s">
        <v>26</v>
      </c>
      <c r="J747" s="65">
        <f t="shared" ref="J747:N747" si="240">SUM(J743:J746)</f>
        <v>0</v>
      </c>
      <c r="K747" s="65">
        <f t="shared" si="240"/>
        <v>0</v>
      </c>
      <c r="L747" s="65">
        <f t="shared" si="240"/>
        <v>0</v>
      </c>
      <c r="M747" s="66">
        <f t="shared" si="240"/>
        <v>0</v>
      </c>
      <c r="N747" s="65">
        <f t="shared" si="240"/>
        <v>0</v>
      </c>
      <c r="O747" s="66">
        <f>SUM(O743:O746)</f>
        <v>0</v>
      </c>
      <c r="P747" s="66">
        <f t="shared" ref="P747" si="241">SUM(P743:P746)</f>
        <v>0</v>
      </c>
      <c r="Q747" s="66"/>
      <c r="R747" s="66"/>
      <c r="S747" s="66"/>
      <c r="T747" s="66"/>
      <c r="U747" s="66"/>
      <c r="V747" s="66"/>
      <c r="W747" s="66"/>
      <c r="X747" s="371"/>
      <c r="Y747" s="149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  <c r="EC747" s="150"/>
      <c r="ED747" s="150"/>
      <c r="EE747" s="150"/>
      <c r="EF747" s="150"/>
      <c r="EG747" s="150"/>
      <c r="EH747" s="150"/>
      <c r="EI747" s="150"/>
      <c r="EJ747" s="150"/>
      <c r="EK747" s="150"/>
      <c r="EL747" s="150"/>
      <c r="EM747" s="150"/>
      <c r="EN747" s="150"/>
      <c r="EO747" s="150"/>
      <c r="EP747" s="150"/>
      <c r="EQ747" s="150"/>
      <c r="ER747" s="150"/>
      <c r="ES747" s="150"/>
      <c r="ET747" s="150"/>
      <c r="EU747" s="150"/>
      <c r="EV747" s="150"/>
      <c r="EW747" s="150"/>
      <c r="EX747" s="150"/>
      <c r="EY747" s="150"/>
      <c r="EZ747" s="150"/>
      <c r="FA747" s="150"/>
      <c r="FB747" s="150"/>
      <c r="FC747" s="150"/>
      <c r="FD747" s="150"/>
      <c r="FE747" s="150"/>
      <c r="FF747" s="150"/>
      <c r="FG747" s="150"/>
      <c r="FH747" s="150"/>
      <c r="FI747" s="150"/>
      <c r="FJ747" s="150"/>
      <c r="FK747" s="150"/>
      <c r="FL747" s="150"/>
      <c r="FM747" s="150"/>
      <c r="FN747" s="150"/>
      <c r="FO747" s="150"/>
      <c r="FP747" s="150"/>
      <c r="FQ747" s="150"/>
      <c r="FR747" s="150"/>
      <c r="FS747" s="150"/>
      <c r="FT747" s="150"/>
      <c r="FU747" s="150"/>
      <c r="FV747" s="150"/>
      <c r="FW747" s="150"/>
      <c r="FX747" s="150"/>
      <c r="FY747" s="150"/>
      <c r="FZ747" s="150"/>
      <c r="GA747" s="150"/>
      <c r="GB747" s="150"/>
      <c r="GC747" s="150"/>
      <c r="GD747" s="150"/>
      <c r="GE747" s="150"/>
      <c r="GF747" s="150"/>
      <c r="GG747" s="150"/>
      <c r="GH747" s="150"/>
      <c r="GI747" s="150"/>
      <c r="GJ747" s="150"/>
      <c r="GK747" s="150"/>
      <c r="GL747" s="150"/>
      <c r="GM747" s="150"/>
      <c r="GN747" s="150"/>
      <c r="GO747" s="96"/>
      <c r="GP747" s="96"/>
    </row>
    <row r="748" spans="1:198" ht="13.5" hidden="1" customHeight="1">
      <c r="A748" s="353">
        <v>65</v>
      </c>
      <c r="B748" s="374" t="s">
        <v>65</v>
      </c>
      <c r="C748" s="384">
        <v>2017</v>
      </c>
      <c r="D748" s="384">
        <v>2024</v>
      </c>
      <c r="E748" s="478" t="s">
        <v>27</v>
      </c>
      <c r="F748" s="560"/>
      <c r="G748" s="435">
        <v>92605</v>
      </c>
      <c r="H748" s="89">
        <v>6050</v>
      </c>
      <c r="I748" s="60" t="s">
        <v>28</v>
      </c>
      <c r="J748" s="77">
        <f>761165-761165</f>
        <v>0</v>
      </c>
      <c r="K748" s="77">
        <f>2165741-2165741</f>
        <v>0</v>
      </c>
      <c r="L748" s="87"/>
      <c r="M748" s="326"/>
      <c r="N748" s="87"/>
      <c r="O748" s="77"/>
      <c r="P748" s="77"/>
      <c r="Q748" s="77"/>
      <c r="R748" s="77"/>
      <c r="S748" s="77"/>
      <c r="T748" s="77"/>
      <c r="U748" s="77"/>
      <c r="V748" s="77"/>
      <c r="W748" s="77"/>
      <c r="X748" s="434">
        <f>SUM(L752:W752)</f>
        <v>0</v>
      </c>
      <c r="Y748" s="138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3.5" hidden="1" customHeight="1">
      <c r="A749" s="353"/>
      <c r="B749" s="374"/>
      <c r="C749" s="384"/>
      <c r="D749" s="384"/>
      <c r="E749" s="478"/>
      <c r="F749" s="560"/>
      <c r="G749" s="435"/>
      <c r="H749" s="89">
        <v>6050</v>
      </c>
      <c r="I749" s="60" t="s">
        <v>31</v>
      </c>
      <c r="J749" s="77"/>
      <c r="K749" s="77"/>
      <c r="L749" s="87"/>
      <c r="M749" s="87"/>
      <c r="N749" s="87"/>
      <c r="O749" s="70"/>
      <c r="P749" s="70"/>
      <c r="Q749" s="70"/>
      <c r="R749" s="70"/>
      <c r="S749" s="70"/>
      <c r="T749" s="70"/>
      <c r="U749" s="70"/>
      <c r="V749" s="70"/>
      <c r="W749" s="70"/>
      <c r="X749" s="434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3.5" hidden="1" customHeight="1">
      <c r="A750" s="353"/>
      <c r="B750" s="374"/>
      <c r="C750" s="384"/>
      <c r="D750" s="384"/>
      <c r="E750" s="478"/>
      <c r="F750" s="560"/>
      <c r="G750" s="435"/>
      <c r="H750" s="89"/>
      <c r="I750" s="60" t="s">
        <v>30</v>
      </c>
      <c r="J750" s="70"/>
      <c r="K750" s="70"/>
      <c r="L750" s="71"/>
      <c r="M750" s="71"/>
      <c r="N750" s="87"/>
      <c r="O750" s="70"/>
      <c r="P750" s="70"/>
      <c r="Q750" s="70"/>
      <c r="R750" s="70"/>
      <c r="S750" s="70"/>
      <c r="T750" s="70"/>
      <c r="U750" s="70"/>
      <c r="V750" s="70"/>
      <c r="W750" s="70"/>
      <c r="X750" s="434"/>
      <c r="Y750" s="40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3.5" hidden="1" customHeight="1">
      <c r="A751" s="353"/>
      <c r="B751" s="374"/>
      <c r="C751" s="384"/>
      <c r="D751" s="384"/>
      <c r="E751" s="478"/>
      <c r="F751" s="560"/>
      <c r="G751" s="435"/>
      <c r="H751" s="89">
        <v>6050</v>
      </c>
      <c r="I751" s="60" t="s">
        <v>135</v>
      </c>
      <c r="J751" s="70"/>
      <c r="K751" s="70"/>
      <c r="L751" s="87"/>
      <c r="M751" s="71"/>
      <c r="N751" s="87"/>
      <c r="O751" s="70"/>
      <c r="P751" s="70"/>
      <c r="Q751" s="70"/>
      <c r="R751" s="70"/>
      <c r="S751" s="70"/>
      <c r="T751" s="70"/>
      <c r="U751" s="70"/>
      <c r="V751" s="70"/>
      <c r="W751" s="70"/>
      <c r="X751" s="434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" hidden="1" customHeight="1">
      <c r="A752" s="353"/>
      <c r="B752" s="374"/>
      <c r="C752" s="384"/>
      <c r="D752" s="384"/>
      <c r="E752" s="478"/>
      <c r="F752" s="560"/>
      <c r="G752" s="435"/>
      <c r="H752" s="89"/>
      <c r="I752" s="64" t="s">
        <v>26</v>
      </c>
      <c r="J752" s="65">
        <f t="shared" ref="J752:P752" si="242">SUM(J748:J751)</f>
        <v>0</v>
      </c>
      <c r="K752" s="65">
        <f t="shared" ref="K752" si="243">SUM(K748:K751)</f>
        <v>0</v>
      </c>
      <c r="L752" s="65">
        <f t="shared" ref="L752" si="244">SUM(L748:L751)</f>
        <v>0</v>
      </c>
      <c r="M752" s="66">
        <f t="shared" si="242"/>
        <v>0</v>
      </c>
      <c r="N752" s="65">
        <f t="shared" si="242"/>
        <v>0</v>
      </c>
      <c r="O752" s="66">
        <f>SUM(O748:O751)</f>
        <v>0</v>
      </c>
      <c r="P752" s="66">
        <f t="shared" si="242"/>
        <v>0</v>
      </c>
      <c r="Q752" s="66"/>
      <c r="R752" s="66"/>
      <c r="S752" s="66"/>
      <c r="T752" s="66"/>
      <c r="U752" s="66"/>
      <c r="V752" s="66"/>
      <c r="W752" s="66"/>
      <c r="X752" s="434"/>
      <c r="Y752" s="40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53">
        <v>58</v>
      </c>
      <c r="B753" s="374" t="s">
        <v>114</v>
      </c>
      <c r="C753" s="384">
        <v>2017</v>
      </c>
      <c r="D753" s="384">
        <v>2029</v>
      </c>
      <c r="E753" s="362" t="s">
        <v>260</v>
      </c>
      <c r="F753" s="419">
        <f>136350+0+X753</f>
        <v>3605776</v>
      </c>
      <c r="G753" s="356">
        <v>92605</v>
      </c>
      <c r="H753" s="89">
        <v>6050</v>
      </c>
      <c r="I753" s="60" t="s">
        <v>28</v>
      </c>
      <c r="J753" s="87">
        <v>27060</v>
      </c>
      <c r="K753" s="87">
        <v>37000</v>
      </c>
      <c r="L753" s="87">
        <v>0</v>
      </c>
      <c r="O753" s="87"/>
      <c r="P753" s="244"/>
      <c r="Q753" s="87">
        <v>968163</v>
      </c>
      <c r="R753" s="87">
        <v>2501263</v>
      </c>
      <c r="S753" s="71"/>
      <c r="T753" s="71"/>
      <c r="U753" s="71"/>
      <c r="V753" s="71"/>
      <c r="W753" s="71"/>
      <c r="X753" s="371">
        <f>SUM(M757:W757)</f>
        <v>3469426</v>
      </c>
      <c r="Y753" s="138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.75" customHeight="1">
      <c r="A754" s="353"/>
      <c r="B754" s="374"/>
      <c r="C754" s="384"/>
      <c r="D754" s="384"/>
      <c r="E754" s="362"/>
      <c r="F754" s="419"/>
      <c r="G754" s="356"/>
      <c r="H754" s="89"/>
      <c r="I754" s="60" t="s">
        <v>31</v>
      </c>
      <c r="J754" s="71"/>
      <c r="K754" s="70"/>
      <c r="L754" s="87">
        <v>0</v>
      </c>
      <c r="M754" s="70"/>
      <c r="N754" s="70"/>
      <c r="O754" s="70"/>
      <c r="P754" s="70"/>
      <c r="Q754" s="70"/>
      <c r="R754" s="71"/>
      <c r="S754" s="71"/>
      <c r="T754" s="70"/>
      <c r="U754" s="70"/>
      <c r="V754" s="70"/>
      <c r="W754" s="70"/>
      <c r="X754" s="371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2.75" customHeight="1">
      <c r="A755" s="353"/>
      <c r="B755" s="374"/>
      <c r="C755" s="384"/>
      <c r="D755" s="384"/>
      <c r="E755" s="362"/>
      <c r="F755" s="419"/>
      <c r="G755" s="356"/>
      <c r="H755" s="89"/>
      <c r="I755" s="60" t="s">
        <v>30</v>
      </c>
      <c r="J755" s="71"/>
      <c r="K755" s="70"/>
      <c r="L755" s="71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371"/>
      <c r="Y755" s="40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2.75" customHeight="1">
      <c r="A756" s="353"/>
      <c r="B756" s="374"/>
      <c r="C756" s="384"/>
      <c r="D756" s="384"/>
      <c r="E756" s="362"/>
      <c r="F756" s="419"/>
      <c r="G756" s="356"/>
      <c r="H756" s="89"/>
      <c r="I756" s="60" t="s">
        <v>33</v>
      </c>
      <c r="J756" s="71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371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2" customHeight="1">
      <c r="A757" s="353"/>
      <c r="B757" s="374"/>
      <c r="C757" s="384"/>
      <c r="D757" s="384"/>
      <c r="E757" s="362"/>
      <c r="F757" s="419"/>
      <c r="G757" s="356"/>
      <c r="H757" s="89"/>
      <c r="I757" s="64" t="s">
        <v>26</v>
      </c>
      <c r="J757" s="65">
        <f t="shared" ref="J757:N757" si="245">SUM(J753:J756)</f>
        <v>27060</v>
      </c>
      <c r="K757" s="65">
        <f t="shared" si="245"/>
        <v>37000</v>
      </c>
      <c r="L757" s="65">
        <f t="shared" si="245"/>
        <v>0</v>
      </c>
      <c r="M757" s="65">
        <f t="shared" si="245"/>
        <v>0</v>
      </c>
      <c r="N757" s="66">
        <f t="shared" si="245"/>
        <v>0</v>
      </c>
      <c r="O757" s="65">
        <f>SUM(O753:O756)</f>
        <v>0</v>
      </c>
      <c r="P757" s="65">
        <f>SUM(P753:P756)</f>
        <v>0</v>
      </c>
      <c r="Q757" s="65">
        <f>SUM(Q753:Q756)</f>
        <v>968163</v>
      </c>
      <c r="R757" s="65">
        <f>SUM(R753:R756)</f>
        <v>2501263</v>
      </c>
      <c r="S757" s="65">
        <f>SUM(S753:S756)</f>
        <v>0</v>
      </c>
      <c r="T757" s="65"/>
      <c r="U757" s="65"/>
      <c r="V757" s="65"/>
      <c r="W757" s="65"/>
      <c r="X757" s="371"/>
      <c r="Y757" s="40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53">
        <v>53</v>
      </c>
      <c r="B758" s="376" t="s">
        <v>66</v>
      </c>
      <c r="C758" s="375">
        <v>2017</v>
      </c>
      <c r="D758" s="375">
        <v>2026</v>
      </c>
      <c r="E758" s="472" t="s">
        <v>27</v>
      </c>
      <c r="F758" s="382">
        <f>X758</f>
        <v>0</v>
      </c>
      <c r="G758" s="354">
        <v>92605</v>
      </c>
      <c r="H758" s="154">
        <v>6050</v>
      </c>
      <c r="I758" s="163" t="s">
        <v>28</v>
      </c>
      <c r="J758" s="157">
        <v>0</v>
      </c>
      <c r="K758" s="156">
        <v>2250</v>
      </c>
      <c r="L758" s="167"/>
      <c r="M758" s="158">
        <v>0</v>
      </c>
      <c r="P758" s="157"/>
      <c r="Q758" s="186"/>
      <c r="R758" s="186"/>
      <c r="S758" s="186"/>
      <c r="T758" s="186"/>
      <c r="U758" s="186"/>
      <c r="V758" s="186"/>
      <c r="W758" s="186"/>
      <c r="X758" s="426">
        <f>SUM(L762:P762)</f>
        <v>0</v>
      </c>
      <c r="Y758" s="141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53"/>
      <c r="B759" s="376"/>
      <c r="C759" s="375"/>
      <c r="D759" s="375"/>
      <c r="E759" s="472"/>
      <c r="F759" s="382"/>
      <c r="G759" s="354"/>
      <c r="H759" s="154"/>
      <c r="I759" s="163" t="s">
        <v>31</v>
      </c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426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53"/>
      <c r="B760" s="376"/>
      <c r="C760" s="375"/>
      <c r="D760" s="375"/>
      <c r="E760" s="472"/>
      <c r="F760" s="382"/>
      <c r="G760" s="354"/>
      <c r="H760" s="154"/>
      <c r="I760" s="163" t="s">
        <v>30</v>
      </c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426"/>
      <c r="Y760" s="40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53"/>
      <c r="B761" s="376"/>
      <c r="C761" s="375"/>
      <c r="D761" s="375"/>
      <c r="E761" s="472"/>
      <c r="F761" s="382"/>
      <c r="G761" s="354"/>
      <c r="H761" s="201"/>
      <c r="I761" s="163" t="s">
        <v>33</v>
      </c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426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53"/>
      <c r="B762" s="376"/>
      <c r="C762" s="375"/>
      <c r="D762" s="375"/>
      <c r="E762" s="472"/>
      <c r="F762" s="382"/>
      <c r="G762" s="354"/>
      <c r="H762" s="159"/>
      <c r="I762" s="160" t="s">
        <v>26</v>
      </c>
      <c r="J762" s="161">
        <f t="shared" ref="J762:M762" si="246">SUM(J758:J761)</f>
        <v>0</v>
      </c>
      <c r="K762" s="161">
        <f t="shared" si="246"/>
        <v>2250</v>
      </c>
      <c r="L762" s="161">
        <f t="shared" si="246"/>
        <v>0</v>
      </c>
      <c r="M762" s="161">
        <f t="shared" si="246"/>
        <v>0</v>
      </c>
      <c r="N762" s="162">
        <f>SUM(N758:N761)</f>
        <v>0</v>
      </c>
      <c r="O762" s="162">
        <f>SUM(O758:O761)</f>
        <v>0</v>
      </c>
      <c r="P762" s="162">
        <f>SUM(P758:P761)</f>
        <v>0</v>
      </c>
      <c r="Q762" s="162"/>
      <c r="R762" s="162"/>
      <c r="S762" s="162"/>
      <c r="T762" s="162"/>
      <c r="U762" s="162"/>
      <c r="V762" s="162"/>
      <c r="W762" s="162"/>
      <c r="X762" s="426"/>
      <c r="Y762" s="40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53">
        <v>54</v>
      </c>
      <c r="B763" s="376" t="s">
        <v>113</v>
      </c>
      <c r="C763" s="375">
        <v>2013</v>
      </c>
      <c r="D763" s="375">
        <v>2028</v>
      </c>
      <c r="E763" s="472" t="s">
        <v>27</v>
      </c>
      <c r="F763" s="419">
        <f>X763</f>
        <v>0</v>
      </c>
      <c r="G763" s="354">
        <v>92605</v>
      </c>
      <c r="H763" s="154">
        <v>6050</v>
      </c>
      <c r="I763" s="155" t="s">
        <v>28</v>
      </c>
      <c r="J763" s="157">
        <v>80000</v>
      </c>
      <c r="K763" s="157">
        <v>90000</v>
      </c>
      <c r="L763" s="167"/>
      <c r="M763" s="167"/>
      <c r="N763" s="157"/>
      <c r="P763" s="157"/>
      <c r="Q763" s="157"/>
      <c r="R763" s="157"/>
      <c r="S763" s="164"/>
      <c r="T763" s="157"/>
      <c r="U763" s="157"/>
      <c r="V763" s="157"/>
      <c r="W763" s="157"/>
      <c r="X763" s="426">
        <f>SUM(P767:W767)</f>
        <v>0</v>
      </c>
      <c r="Y763" s="141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53"/>
      <c r="B764" s="376"/>
      <c r="C764" s="375"/>
      <c r="D764" s="375"/>
      <c r="E764" s="472"/>
      <c r="F764" s="419"/>
      <c r="G764" s="354"/>
      <c r="H764" s="154"/>
      <c r="I764" s="155" t="s">
        <v>28</v>
      </c>
      <c r="J764" s="164">
        <v>109090</v>
      </c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426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3.5" hidden="1" customHeight="1">
      <c r="A765" s="353"/>
      <c r="B765" s="376"/>
      <c r="C765" s="375"/>
      <c r="D765" s="375"/>
      <c r="E765" s="472"/>
      <c r="F765" s="419"/>
      <c r="G765" s="354"/>
      <c r="H765" s="154"/>
      <c r="I765" s="155" t="s">
        <v>30</v>
      </c>
      <c r="J765" s="164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426"/>
      <c r="Y765" s="40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3.5" hidden="1" customHeight="1">
      <c r="A766" s="353"/>
      <c r="B766" s="376"/>
      <c r="C766" s="375"/>
      <c r="D766" s="375"/>
      <c r="E766" s="472"/>
      <c r="F766" s="419"/>
      <c r="G766" s="354"/>
      <c r="H766" s="201"/>
      <c r="I766" s="155" t="s">
        <v>33</v>
      </c>
      <c r="J766" s="164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426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3.5" hidden="1" customHeight="1">
      <c r="A767" s="353"/>
      <c r="B767" s="376"/>
      <c r="C767" s="375"/>
      <c r="D767" s="375"/>
      <c r="E767" s="472"/>
      <c r="F767" s="419"/>
      <c r="G767" s="354"/>
      <c r="H767" s="159"/>
      <c r="I767" s="160" t="s">
        <v>26</v>
      </c>
      <c r="J767" s="161">
        <f t="shared" ref="J767:N767" si="247">SUM(J763:J766)</f>
        <v>189090</v>
      </c>
      <c r="K767" s="162">
        <f t="shared" si="247"/>
        <v>90000</v>
      </c>
      <c r="L767" s="162">
        <f t="shared" si="247"/>
        <v>0</v>
      </c>
      <c r="M767" s="162">
        <f t="shared" si="247"/>
        <v>0</v>
      </c>
      <c r="N767" s="162">
        <f t="shared" si="247"/>
        <v>0</v>
      </c>
      <c r="O767" s="162">
        <f>SUM(O763:O766)</f>
        <v>0</v>
      </c>
      <c r="P767" s="162">
        <f>SUM(P763:P766)</f>
        <v>0</v>
      </c>
      <c r="Q767" s="161">
        <f>SUM(Q763:R763)</f>
        <v>0</v>
      </c>
      <c r="R767" s="161">
        <f>SUM(R763:S763)</f>
        <v>0</v>
      </c>
      <c r="S767" s="162"/>
      <c r="T767" s="162"/>
      <c r="U767" s="162"/>
      <c r="V767" s="162"/>
      <c r="W767" s="162"/>
      <c r="X767" s="426"/>
      <c r="Y767" s="40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53">
        <v>59</v>
      </c>
      <c r="B768" s="374" t="s">
        <v>106</v>
      </c>
      <c r="C768" s="375">
        <v>2014</v>
      </c>
      <c r="D768" s="375">
        <v>2029</v>
      </c>
      <c r="E768" s="362" t="s">
        <v>260</v>
      </c>
      <c r="F768" s="419">
        <f>699457+0+X768</f>
        <v>1149457</v>
      </c>
      <c r="G768" s="381">
        <v>92605</v>
      </c>
      <c r="H768" s="154">
        <v>6050</v>
      </c>
      <c r="I768" s="155" t="s">
        <v>28</v>
      </c>
      <c r="J768" s="156">
        <v>59579</v>
      </c>
      <c r="K768" s="157"/>
      <c r="L768" s="158"/>
      <c r="M768" s="158">
        <v>0</v>
      </c>
      <c r="N768" s="157"/>
      <c r="P768" s="164"/>
      <c r="Q768" s="164">
        <v>200000</v>
      </c>
      <c r="R768" s="157">
        <v>250000</v>
      </c>
      <c r="S768" s="157"/>
      <c r="T768" s="164"/>
      <c r="U768" s="164"/>
      <c r="V768" s="157"/>
      <c r="W768" s="157"/>
      <c r="X768" s="484">
        <f>SUM(M772:W772)</f>
        <v>450000</v>
      </c>
      <c r="Y768" s="141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2.75" customHeight="1">
      <c r="A769" s="353"/>
      <c r="B769" s="374"/>
      <c r="C769" s="375"/>
      <c r="D769" s="375"/>
      <c r="E769" s="362"/>
      <c r="F769" s="419"/>
      <c r="G769" s="381"/>
      <c r="H769" s="154"/>
      <c r="I769" s="155" t="s">
        <v>31</v>
      </c>
      <c r="J769" s="158"/>
      <c r="K769" s="158"/>
      <c r="L769" s="158"/>
      <c r="M769" s="158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484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2.75" customHeight="1">
      <c r="A770" s="353"/>
      <c r="B770" s="374"/>
      <c r="C770" s="375"/>
      <c r="D770" s="375"/>
      <c r="E770" s="362"/>
      <c r="F770" s="419"/>
      <c r="G770" s="381"/>
      <c r="H770" s="154"/>
      <c r="I770" s="155" t="s">
        <v>30</v>
      </c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484"/>
      <c r="Y770" s="40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2.75" customHeight="1">
      <c r="A771" s="353"/>
      <c r="B771" s="374"/>
      <c r="C771" s="375"/>
      <c r="D771" s="375"/>
      <c r="E771" s="362"/>
      <c r="F771" s="419"/>
      <c r="G771" s="381"/>
      <c r="H771" s="154"/>
      <c r="I771" s="155" t="s">
        <v>70</v>
      </c>
      <c r="J771" s="157">
        <v>10000</v>
      </c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484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0.5" customHeight="1">
      <c r="A772" s="353"/>
      <c r="B772" s="374"/>
      <c r="C772" s="375"/>
      <c r="D772" s="375"/>
      <c r="E772" s="362"/>
      <c r="F772" s="419"/>
      <c r="G772" s="381"/>
      <c r="H772" s="159"/>
      <c r="I772" s="160" t="s">
        <v>26</v>
      </c>
      <c r="J772" s="161">
        <f>SUM(J768:J771)</f>
        <v>69579</v>
      </c>
      <c r="K772" s="161">
        <f t="shared" ref="K772:O772" si="248">SUM(K768:K771)</f>
        <v>0</v>
      </c>
      <c r="L772" s="162">
        <f t="shared" si="248"/>
        <v>0</v>
      </c>
      <c r="M772" s="162">
        <f t="shared" si="248"/>
        <v>0</v>
      </c>
      <c r="N772" s="162">
        <f t="shared" si="248"/>
        <v>0</v>
      </c>
      <c r="O772" s="162">
        <f t="shared" si="248"/>
        <v>0</v>
      </c>
      <c r="P772" s="162">
        <f>SUM(P768:P771)</f>
        <v>0</v>
      </c>
      <c r="Q772" s="161">
        <f>SUM(Q768:Q771)</f>
        <v>200000</v>
      </c>
      <c r="R772" s="161">
        <f t="shared" ref="R772:W772" si="249">SUM(R768:R771)</f>
        <v>250000</v>
      </c>
      <c r="S772" s="161">
        <f t="shared" si="249"/>
        <v>0</v>
      </c>
      <c r="T772" s="161">
        <f t="shared" si="249"/>
        <v>0</v>
      </c>
      <c r="U772" s="161">
        <f t="shared" si="249"/>
        <v>0</v>
      </c>
      <c r="V772" s="161">
        <f t="shared" si="249"/>
        <v>0</v>
      </c>
      <c r="W772" s="161">
        <f t="shared" si="249"/>
        <v>0</v>
      </c>
      <c r="X772" s="484"/>
      <c r="Y772" s="40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hidden="1" customHeight="1">
      <c r="A773" s="353">
        <v>89</v>
      </c>
      <c r="B773" s="376" t="s">
        <v>77</v>
      </c>
      <c r="C773" s="438">
        <v>2016</v>
      </c>
      <c r="D773" s="375">
        <v>2027</v>
      </c>
      <c r="E773" s="425" t="s">
        <v>27</v>
      </c>
      <c r="F773" s="382">
        <f>X773</f>
        <v>0</v>
      </c>
      <c r="G773" s="377">
        <v>92605</v>
      </c>
      <c r="H773" s="154">
        <v>6050</v>
      </c>
      <c r="I773" s="163" t="s">
        <v>28</v>
      </c>
      <c r="J773" s="158">
        <v>0</v>
      </c>
      <c r="K773" s="158"/>
      <c r="L773" s="157">
        <v>0</v>
      </c>
      <c r="M773" s="167"/>
      <c r="N773" s="157"/>
      <c r="O773" s="157"/>
      <c r="P773" s="208"/>
      <c r="Q773" s="208"/>
      <c r="R773" s="164"/>
      <c r="S773" s="157"/>
      <c r="T773" s="157"/>
      <c r="U773" s="157"/>
      <c r="V773" s="157"/>
      <c r="W773" s="157"/>
      <c r="X773" s="426">
        <f>SUM(L777:W777)</f>
        <v>0</v>
      </c>
      <c r="Y773" s="141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hidden="1" customHeight="1">
      <c r="A774" s="353"/>
      <c r="B774" s="376"/>
      <c r="C774" s="438"/>
      <c r="D774" s="375"/>
      <c r="E774" s="425"/>
      <c r="F774" s="382"/>
      <c r="G774" s="377"/>
      <c r="H774" s="159"/>
      <c r="I774" s="163" t="s">
        <v>31</v>
      </c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426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hidden="1" customHeight="1">
      <c r="A775" s="353"/>
      <c r="B775" s="376"/>
      <c r="C775" s="438"/>
      <c r="D775" s="375"/>
      <c r="E775" s="425"/>
      <c r="F775" s="382"/>
      <c r="G775" s="377"/>
      <c r="H775" s="159"/>
      <c r="I775" s="163" t="s">
        <v>30</v>
      </c>
      <c r="J775" s="157"/>
      <c r="K775" s="157"/>
      <c r="L775" s="157"/>
      <c r="M775" s="157"/>
      <c r="N775" s="157"/>
      <c r="O775" s="164"/>
      <c r="P775" s="157"/>
      <c r="Q775" s="157"/>
      <c r="R775" s="157"/>
      <c r="S775" s="157"/>
      <c r="T775" s="157"/>
      <c r="U775" s="157"/>
      <c r="V775" s="157"/>
      <c r="W775" s="157"/>
      <c r="X775" s="426"/>
      <c r="Y775" s="40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hidden="1" customHeight="1">
      <c r="A776" s="353"/>
      <c r="B776" s="376"/>
      <c r="C776" s="438"/>
      <c r="D776" s="375"/>
      <c r="E776" s="425"/>
      <c r="F776" s="382"/>
      <c r="G776" s="377"/>
      <c r="H776" s="154"/>
      <c r="I776" s="155" t="s">
        <v>32</v>
      </c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426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53"/>
      <c r="B777" s="376"/>
      <c r="C777" s="438"/>
      <c r="D777" s="375"/>
      <c r="E777" s="425"/>
      <c r="F777" s="382"/>
      <c r="G777" s="377"/>
      <c r="H777" s="159"/>
      <c r="I777" s="160" t="s">
        <v>26</v>
      </c>
      <c r="J777" s="161">
        <f t="shared" ref="J777:P777" si="250">SUM(J773:J776)</f>
        <v>0</v>
      </c>
      <c r="K777" s="161">
        <f t="shared" si="250"/>
        <v>0</v>
      </c>
      <c r="L777" s="161">
        <f t="shared" si="250"/>
        <v>0</v>
      </c>
      <c r="M777" s="161">
        <f t="shared" si="250"/>
        <v>0</v>
      </c>
      <c r="N777" s="161">
        <f t="shared" si="250"/>
        <v>0</v>
      </c>
      <c r="O777" s="162">
        <f>SUM(O773:O776)</f>
        <v>0</v>
      </c>
      <c r="P777" s="162">
        <f t="shared" si="250"/>
        <v>0</v>
      </c>
      <c r="Q777" s="161">
        <f>SUM(Q773:Q776)</f>
        <v>0</v>
      </c>
      <c r="R777" s="162"/>
      <c r="S777" s="162"/>
      <c r="T777" s="162"/>
      <c r="U777" s="162"/>
      <c r="V777" s="162"/>
      <c r="W777" s="162"/>
      <c r="X777" s="426"/>
      <c r="Y777" s="40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53">
        <v>88</v>
      </c>
      <c r="B778" s="376" t="s">
        <v>74</v>
      </c>
      <c r="C778" s="474">
        <v>2014</v>
      </c>
      <c r="D778" s="453">
        <v>2026</v>
      </c>
      <c r="E778" s="466" t="s">
        <v>27</v>
      </c>
      <c r="F778" s="414">
        <v>0</v>
      </c>
      <c r="G778" s="418">
        <v>92605</v>
      </c>
      <c r="H778" s="113">
        <v>6050</v>
      </c>
      <c r="I778" s="114" t="s">
        <v>28</v>
      </c>
      <c r="J778" s="95">
        <v>0</v>
      </c>
      <c r="K778" s="95">
        <v>0</v>
      </c>
      <c r="L778" s="93"/>
      <c r="M778" s="93">
        <v>0</v>
      </c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24">
        <f>SUM(L782:W782)</f>
        <v>0</v>
      </c>
      <c r="Y778" s="141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53"/>
      <c r="B779" s="376"/>
      <c r="C779" s="474"/>
      <c r="D779" s="453"/>
      <c r="E779" s="466"/>
      <c r="F779" s="414"/>
      <c r="G779" s="418"/>
      <c r="H779" s="113"/>
      <c r="I779" s="114" t="s">
        <v>31</v>
      </c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424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53"/>
      <c r="B780" s="376"/>
      <c r="C780" s="474"/>
      <c r="D780" s="453"/>
      <c r="E780" s="466"/>
      <c r="F780" s="414"/>
      <c r="G780" s="418"/>
      <c r="H780" s="113"/>
      <c r="I780" s="114" t="s">
        <v>30</v>
      </c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424"/>
      <c r="Y780" s="40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53"/>
      <c r="B781" s="376"/>
      <c r="C781" s="474"/>
      <c r="D781" s="453"/>
      <c r="E781" s="466"/>
      <c r="F781" s="414"/>
      <c r="G781" s="418"/>
      <c r="H781" s="113"/>
      <c r="I781" s="114" t="s">
        <v>55</v>
      </c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424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53"/>
      <c r="B782" s="376"/>
      <c r="C782" s="474"/>
      <c r="D782" s="453"/>
      <c r="E782" s="466"/>
      <c r="F782" s="414"/>
      <c r="G782" s="418"/>
      <c r="H782" s="151"/>
      <c r="I782" s="145" t="s">
        <v>26</v>
      </c>
      <c r="J782" s="103">
        <f t="shared" ref="J782:O782" si="251">SUM(J778:J781)</f>
        <v>0</v>
      </c>
      <c r="K782" s="103">
        <f t="shared" si="251"/>
        <v>0</v>
      </c>
      <c r="L782" s="103">
        <f t="shared" si="251"/>
        <v>0</v>
      </c>
      <c r="M782" s="103">
        <f t="shared" si="251"/>
        <v>0</v>
      </c>
      <c r="N782" s="103">
        <f t="shared" si="251"/>
        <v>0</v>
      </c>
      <c r="O782" s="103">
        <f t="shared" si="251"/>
        <v>0</v>
      </c>
      <c r="P782" s="103">
        <f>SUM(P778:P781)</f>
        <v>0</v>
      </c>
      <c r="Q782" s="103">
        <f t="shared" ref="Q782:W782" si="252">SUM(Q778:Q781)</f>
        <v>0</v>
      </c>
      <c r="R782" s="103">
        <f t="shared" si="252"/>
        <v>0</v>
      </c>
      <c r="S782" s="103">
        <f t="shared" si="252"/>
        <v>0</v>
      </c>
      <c r="T782" s="103">
        <f t="shared" si="252"/>
        <v>0</v>
      </c>
      <c r="U782" s="103">
        <f t="shared" si="252"/>
        <v>0</v>
      </c>
      <c r="V782" s="103">
        <f t="shared" si="252"/>
        <v>0</v>
      </c>
      <c r="W782" s="103">
        <f t="shared" si="252"/>
        <v>0</v>
      </c>
      <c r="X782" s="424"/>
      <c r="Y782" s="40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53">
        <v>90</v>
      </c>
      <c r="B783" s="376" t="s">
        <v>116</v>
      </c>
      <c r="C783" s="375">
        <v>2016</v>
      </c>
      <c r="D783" s="370">
        <v>2022</v>
      </c>
      <c r="E783" s="472" t="s">
        <v>27</v>
      </c>
      <c r="F783" s="382">
        <f>X783</f>
        <v>0</v>
      </c>
      <c r="G783" s="354">
        <v>92605</v>
      </c>
      <c r="H783" s="154">
        <v>6050</v>
      </c>
      <c r="I783" s="163" t="s">
        <v>28</v>
      </c>
      <c r="J783" s="157">
        <f>(12500)+(700000-671835)</f>
        <v>40665</v>
      </c>
      <c r="K783" s="164">
        <f>200000-200000</f>
        <v>0</v>
      </c>
      <c r="L783" s="164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66">
        <f>SUM(L787:W787)</f>
        <v>0</v>
      </c>
      <c r="Y783" s="152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14.25" hidden="1" customHeight="1">
      <c r="A784" s="353"/>
      <c r="B784" s="376"/>
      <c r="C784" s="375"/>
      <c r="D784" s="370"/>
      <c r="E784" s="472"/>
      <c r="F784" s="382"/>
      <c r="G784" s="354"/>
      <c r="H784" s="165"/>
      <c r="I784" s="166" t="s">
        <v>28</v>
      </c>
      <c r="J784" s="156">
        <v>357648</v>
      </c>
      <c r="K784" s="16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366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4.25" hidden="1" customHeight="1">
      <c r="A785" s="353"/>
      <c r="B785" s="376"/>
      <c r="C785" s="375"/>
      <c r="D785" s="370"/>
      <c r="E785" s="472"/>
      <c r="F785" s="382"/>
      <c r="G785" s="354"/>
      <c r="H785" s="165"/>
      <c r="I785" s="168" t="s">
        <v>30</v>
      </c>
      <c r="J785" s="169">
        <v>305600</v>
      </c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366"/>
      <c r="Y785" s="40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14.25" hidden="1" customHeight="1">
      <c r="A786" s="353"/>
      <c r="B786" s="376"/>
      <c r="C786" s="375"/>
      <c r="D786" s="370"/>
      <c r="E786" s="472"/>
      <c r="F786" s="382"/>
      <c r="G786" s="354"/>
      <c r="H786" s="154"/>
      <c r="I786" s="155" t="s">
        <v>33</v>
      </c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366"/>
      <c r="Y786" s="40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7.5" hidden="1" customHeight="1">
      <c r="A787" s="353"/>
      <c r="B787" s="376"/>
      <c r="C787" s="375"/>
      <c r="D787" s="370"/>
      <c r="E787" s="472"/>
      <c r="F787" s="382"/>
      <c r="G787" s="354"/>
      <c r="H787" s="159"/>
      <c r="I787" s="160" t="s">
        <v>26</v>
      </c>
      <c r="J787" s="161">
        <f t="shared" ref="J787:W787" si="253">SUM(J783:J786)</f>
        <v>703913</v>
      </c>
      <c r="K787" s="161">
        <f>SUM(K783:K786)</f>
        <v>0</v>
      </c>
      <c r="L787" s="161">
        <f t="shared" si="253"/>
        <v>0</v>
      </c>
      <c r="M787" s="161">
        <f t="shared" si="253"/>
        <v>0</v>
      </c>
      <c r="N787" s="161">
        <f t="shared" si="253"/>
        <v>0</v>
      </c>
      <c r="O787" s="161">
        <f t="shared" si="253"/>
        <v>0</v>
      </c>
      <c r="P787" s="162">
        <f t="shared" si="253"/>
        <v>0</v>
      </c>
      <c r="Q787" s="162">
        <f t="shared" si="253"/>
        <v>0</v>
      </c>
      <c r="R787" s="162">
        <f t="shared" si="253"/>
        <v>0</v>
      </c>
      <c r="S787" s="162">
        <f t="shared" si="253"/>
        <v>0</v>
      </c>
      <c r="T787" s="162">
        <f t="shared" si="253"/>
        <v>0</v>
      </c>
      <c r="U787" s="162">
        <f t="shared" si="253"/>
        <v>0</v>
      </c>
      <c r="V787" s="162">
        <f t="shared" si="253"/>
        <v>0</v>
      </c>
      <c r="W787" s="162">
        <f t="shared" si="253"/>
        <v>0</v>
      </c>
      <c r="X787" s="366"/>
      <c r="Y787" s="40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hidden="1" customHeight="1">
      <c r="A788" s="353">
        <v>59</v>
      </c>
      <c r="B788" s="374" t="s">
        <v>139</v>
      </c>
      <c r="C788" s="375">
        <v>2016</v>
      </c>
      <c r="D788" s="370">
        <v>2032</v>
      </c>
      <c r="E788" s="472" t="s">
        <v>27</v>
      </c>
      <c r="F788" s="382">
        <f>X788</f>
        <v>0</v>
      </c>
      <c r="G788" s="354">
        <v>92605</v>
      </c>
      <c r="H788" s="154">
        <v>6050</v>
      </c>
      <c r="I788" s="183" t="s">
        <v>28</v>
      </c>
      <c r="J788" s="203"/>
      <c r="K788" s="203"/>
      <c r="L788" s="164">
        <v>0</v>
      </c>
      <c r="M788" s="164">
        <v>0</v>
      </c>
      <c r="N788" s="157"/>
      <c r="O788" s="164">
        <v>0</v>
      </c>
      <c r="P788" s="164">
        <v>0</v>
      </c>
      <c r="Q788" s="164"/>
      <c r="R788" s="164"/>
      <c r="S788" s="164">
        <v>0</v>
      </c>
      <c r="T788" s="164">
        <v>0</v>
      </c>
      <c r="U788" s="164">
        <v>0</v>
      </c>
      <c r="V788" s="164"/>
      <c r="W788" s="157"/>
      <c r="X788" s="366">
        <f>SUM(L792:W792)</f>
        <v>0</v>
      </c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hidden="1" customHeight="1">
      <c r="A789" s="353"/>
      <c r="B789" s="374"/>
      <c r="C789" s="375"/>
      <c r="D789" s="370"/>
      <c r="E789" s="472"/>
      <c r="F789" s="382"/>
      <c r="G789" s="354"/>
      <c r="H789" s="165"/>
      <c r="I789" s="166" t="s">
        <v>28</v>
      </c>
      <c r="J789" s="204"/>
      <c r="K789" s="205"/>
      <c r="L789" s="157"/>
      <c r="M789" s="157"/>
      <c r="N789" s="157"/>
      <c r="O789" s="164"/>
      <c r="P789" s="164"/>
      <c r="Q789" s="164"/>
      <c r="R789" s="164"/>
      <c r="S789" s="164"/>
      <c r="T789" s="164"/>
      <c r="U789" s="164"/>
      <c r="V789" s="157"/>
      <c r="W789" s="157"/>
      <c r="X789" s="366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t="12.75" hidden="1" customHeight="1">
      <c r="A790" s="353"/>
      <c r="B790" s="374"/>
      <c r="C790" s="375"/>
      <c r="D790" s="370"/>
      <c r="E790" s="472"/>
      <c r="F790" s="382"/>
      <c r="G790" s="354"/>
      <c r="H790" s="165"/>
      <c r="I790" s="168" t="s">
        <v>30</v>
      </c>
      <c r="J790" s="202"/>
      <c r="K790" s="202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366"/>
      <c r="Y790" s="153"/>
      <c r="Z790" s="96"/>
      <c r="AA790" s="96"/>
      <c r="AB790" s="96"/>
      <c r="AC790" s="96"/>
      <c r="AD790" s="96"/>
      <c r="AE790" s="96"/>
      <c r="AF790" s="96"/>
      <c r="AG790" s="96"/>
      <c r="AH790" s="96"/>
      <c r="AI790" s="96"/>
      <c r="AJ790" s="96"/>
      <c r="AK790" s="96"/>
      <c r="AL790" s="96"/>
      <c r="AM790" s="96"/>
      <c r="AN790" s="96"/>
      <c r="AO790" s="96"/>
      <c r="AP790" s="96"/>
      <c r="AQ790" s="96"/>
      <c r="AR790" s="96"/>
      <c r="AS790" s="96"/>
      <c r="AT790" s="96"/>
      <c r="AU790" s="96"/>
      <c r="AV790" s="96"/>
      <c r="AW790" s="96"/>
      <c r="AX790" s="96"/>
      <c r="AY790" s="96"/>
      <c r="AZ790" s="96"/>
      <c r="BA790" s="96"/>
      <c r="BB790" s="96"/>
      <c r="BC790" s="96"/>
      <c r="BD790" s="96"/>
      <c r="BE790" s="96"/>
      <c r="BF790" s="96"/>
      <c r="BG790" s="96"/>
      <c r="BH790" s="96"/>
      <c r="BI790" s="96"/>
      <c r="BJ790" s="96"/>
      <c r="BK790" s="96"/>
      <c r="BL790" s="96"/>
      <c r="BM790" s="96"/>
      <c r="BN790" s="96"/>
      <c r="BO790" s="96"/>
      <c r="BP790" s="96"/>
      <c r="BQ790" s="96"/>
      <c r="BR790" s="96"/>
      <c r="BS790" s="96"/>
      <c r="BT790" s="96"/>
      <c r="BU790" s="96"/>
      <c r="BV790" s="96"/>
      <c r="BW790" s="96"/>
      <c r="BX790" s="96"/>
      <c r="BY790" s="96"/>
      <c r="BZ790" s="96"/>
      <c r="CA790" s="96"/>
      <c r="CB790" s="96"/>
      <c r="CC790" s="96"/>
      <c r="CD790" s="96"/>
      <c r="CE790" s="96"/>
      <c r="CF790" s="96"/>
      <c r="CG790" s="96"/>
      <c r="CH790" s="96"/>
      <c r="CI790" s="96"/>
      <c r="CJ790" s="96"/>
      <c r="CK790" s="96"/>
      <c r="CL790" s="96"/>
      <c r="CM790" s="96"/>
      <c r="CN790" s="96"/>
      <c r="CO790" s="96"/>
      <c r="CP790" s="96"/>
      <c r="CQ790" s="96"/>
      <c r="CR790" s="96"/>
      <c r="CS790" s="96"/>
      <c r="CT790" s="96"/>
      <c r="CU790" s="96"/>
      <c r="CV790" s="96"/>
      <c r="CW790" s="96"/>
      <c r="CX790" s="96"/>
      <c r="CY790" s="96"/>
      <c r="CZ790" s="96"/>
      <c r="DA790" s="96"/>
      <c r="DB790" s="96"/>
      <c r="DC790" s="96"/>
      <c r="DD790" s="96"/>
      <c r="DE790" s="96"/>
      <c r="DF790" s="96"/>
      <c r="DG790" s="96"/>
      <c r="DH790" s="96"/>
      <c r="DI790" s="96"/>
      <c r="DJ790" s="96"/>
      <c r="DK790" s="96"/>
      <c r="DL790" s="96"/>
      <c r="DM790" s="96"/>
      <c r="DN790" s="96"/>
      <c r="DO790" s="96"/>
      <c r="DP790" s="96"/>
      <c r="DQ790" s="96"/>
      <c r="DR790" s="96"/>
      <c r="DS790" s="96"/>
      <c r="DT790" s="96"/>
      <c r="DU790" s="96"/>
      <c r="DV790" s="96"/>
      <c r="DW790" s="96"/>
      <c r="DX790" s="96"/>
      <c r="DY790" s="96"/>
      <c r="DZ790" s="96"/>
      <c r="EA790" s="96"/>
      <c r="EB790" s="96"/>
      <c r="EC790" s="96"/>
      <c r="ED790" s="96"/>
      <c r="EE790" s="96"/>
      <c r="EF790" s="96"/>
      <c r="EG790" s="96"/>
      <c r="EH790" s="96"/>
      <c r="EI790" s="96"/>
      <c r="EJ790" s="96"/>
      <c r="EK790" s="96"/>
      <c r="EL790" s="96"/>
      <c r="EM790" s="96"/>
      <c r="EN790" s="96"/>
      <c r="EO790" s="96"/>
      <c r="EP790" s="96"/>
      <c r="EQ790" s="96"/>
      <c r="ER790" s="96"/>
      <c r="ES790" s="96"/>
      <c r="ET790" s="96"/>
      <c r="EU790" s="96"/>
      <c r="EV790" s="96"/>
      <c r="EW790" s="96"/>
      <c r="EX790" s="96"/>
      <c r="EY790" s="96"/>
      <c r="EZ790" s="96"/>
      <c r="FA790" s="96"/>
      <c r="FB790" s="96"/>
      <c r="FC790" s="96"/>
      <c r="FD790" s="96"/>
      <c r="FE790" s="96"/>
      <c r="FF790" s="96"/>
      <c r="FG790" s="96"/>
      <c r="FH790" s="96"/>
      <c r="FI790" s="96"/>
      <c r="FJ790" s="96"/>
      <c r="FK790" s="96"/>
      <c r="FL790" s="96"/>
      <c r="FM790" s="96"/>
      <c r="FN790" s="96"/>
      <c r="FO790" s="96"/>
      <c r="FP790" s="96"/>
      <c r="FQ790" s="96"/>
      <c r="FR790" s="96"/>
      <c r="FS790" s="96"/>
      <c r="FT790" s="96"/>
      <c r="FU790" s="96"/>
      <c r="FV790" s="96"/>
      <c r="FW790" s="96"/>
      <c r="FX790" s="96"/>
      <c r="FY790" s="96"/>
      <c r="FZ790" s="96"/>
      <c r="GA790" s="96"/>
      <c r="GB790" s="96"/>
      <c r="GC790" s="96"/>
      <c r="GD790" s="96"/>
      <c r="GE790" s="96"/>
      <c r="GF790" s="96"/>
      <c r="GG790" s="96"/>
      <c r="GH790" s="96"/>
      <c r="GI790" s="96"/>
      <c r="GJ790" s="96"/>
      <c r="GK790" s="96"/>
      <c r="GL790" s="96"/>
      <c r="GM790" s="96"/>
      <c r="GN790" s="96"/>
      <c r="GO790" s="96"/>
      <c r="GP790" s="96"/>
    </row>
    <row r="791" spans="1:198" ht="12.75" hidden="1" customHeight="1">
      <c r="A791" s="353"/>
      <c r="B791" s="374"/>
      <c r="C791" s="375"/>
      <c r="D791" s="370"/>
      <c r="E791" s="472"/>
      <c r="F791" s="382"/>
      <c r="G791" s="354"/>
      <c r="I791" s="155" t="s">
        <v>55</v>
      </c>
      <c r="J791" s="202"/>
      <c r="K791" s="202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366"/>
      <c r="Y791" s="153"/>
      <c r="Z791" s="96"/>
      <c r="AA791" s="96"/>
      <c r="AB791" s="96"/>
      <c r="AC791" s="96"/>
      <c r="AD791" s="96"/>
      <c r="AE791" s="96"/>
      <c r="AF791" s="96"/>
      <c r="AG791" s="96"/>
      <c r="AH791" s="96"/>
      <c r="AI791" s="96"/>
      <c r="AJ791" s="96"/>
      <c r="AK791" s="96"/>
      <c r="AL791" s="96"/>
      <c r="AM791" s="96"/>
      <c r="AN791" s="96"/>
      <c r="AO791" s="96"/>
      <c r="AP791" s="96"/>
      <c r="AQ791" s="96"/>
      <c r="AR791" s="96"/>
      <c r="AS791" s="96"/>
      <c r="AT791" s="96"/>
      <c r="AU791" s="96"/>
      <c r="AV791" s="96"/>
      <c r="AW791" s="96"/>
      <c r="AX791" s="96"/>
      <c r="AY791" s="96"/>
      <c r="AZ791" s="96"/>
      <c r="BA791" s="96"/>
      <c r="BB791" s="96"/>
      <c r="BC791" s="96"/>
      <c r="BD791" s="96"/>
      <c r="BE791" s="96"/>
      <c r="BF791" s="96"/>
      <c r="BG791" s="96"/>
      <c r="BH791" s="96"/>
      <c r="BI791" s="96"/>
      <c r="BJ791" s="96"/>
      <c r="BK791" s="96"/>
      <c r="BL791" s="96"/>
      <c r="BM791" s="96"/>
      <c r="BN791" s="96"/>
      <c r="BO791" s="96"/>
      <c r="BP791" s="96"/>
      <c r="BQ791" s="96"/>
      <c r="BR791" s="96"/>
      <c r="BS791" s="96"/>
      <c r="BT791" s="96"/>
      <c r="BU791" s="96"/>
      <c r="BV791" s="96"/>
      <c r="BW791" s="96"/>
      <c r="BX791" s="96"/>
      <c r="BY791" s="96"/>
      <c r="BZ791" s="96"/>
      <c r="CA791" s="96"/>
      <c r="CB791" s="96"/>
      <c r="CC791" s="96"/>
      <c r="CD791" s="96"/>
      <c r="CE791" s="96"/>
      <c r="CF791" s="96"/>
      <c r="CG791" s="96"/>
      <c r="CH791" s="96"/>
      <c r="CI791" s="96"/>
      <c r="CJ791" s="96"/>
      <c r="CK791" s="96"/>
      <c r="CL791" s="96"/>
      <c r="CM791" s="96"/>
      <c r="CN791" s="96"/>
      <c r="CO791" s="96"/>
      <c r="CP791" s="96"/>
      <c r="CQ791" s="96"/>
      <c r="CR791" s="96"/>
      <c r="CS791" s="96"/>
      <c r="CT791" s="96"/>
      <c r="CU791" s="96"/>
      <c r="CV791" s="96"/>
      <c r="CW791" s="96"/>
      <c r="CX791" s="96"/>
      <c r="CY791" s="96"/>
      <c r="CZ791" s="96"/>
      <c r="DA791" s="96"/>
      <c r="DB791" s="96"/>
      <c r="DC791" s="96"/>
      <c r="DD791" s="96"/>
      <c r="DE791" s="96"/>
      <c r="DF791" s="96"/>
      <c r="DG791" s="96"/>
      <c r="DH791" s="96"/>
      <c r="DI791" s="96"/>
      <c r="DJ791" s="96"/>
      <c r="DK791" s="96"/>
      <c r="DL791" s="96"/>
      <c r="DM791" s="96"/>
      <c r="DN791" s="96"/>
      <c r="DO791" s="96"/>
      <c r="DP791" s="96"/>
      <c r="DQ791" s="96"/>
      <c r="DR791" s="96"/>
      <c r="DS791" s="96"/>
      <c r="DT791" s="96"/>
      <c r="DU791" s="96"/>
      <c r="DV791" s="96"/>
      <c r="DW791" s="96"/>
      <c r="DX791" s="96"/>
      <c r="DY791" s="96"/>
      <c r="DZ791" s="96"/>
      <c r="EA791" s="96"/>
      <c r="EB791" s="96"/>
      <c r="EC791" s="96"/>
      <c r="ED791" s="96"/>
      <c r="EE791" s="96"/>
      <c r="EF791" s="96"/>
      <c r="EG791" s="96"/>
      <c r="EH791" s="96"/>
      <c r="EI791" s="96"/>
      <c r="EJ791" s="96"/>
      <c r="EK791" s="96"/>
      <c r="EL791" s="96"/>
      <c r="EM791" s="96"/>
      <c r="EN791" s="96"/>
      <c r="EO791" s="96"/>
      <c r="EP791" s="96"/>
      <c r="EQ791" s="96"/>
      <c r="ER791" s="96"/>
      <c r="ES791" s="96"/>
      <c r="ET791" s="96"/>
      <c r="EU791" s="96"/>
      <c r="EV791" s="96"/>
      <c r="EW791" s="96"/>
      <c r="EX791" s="96"/>
      <c r="EY791" s="96"/>
      <c r="EZ791" s="96"/>
      <c r="FA791" s="96"/>
      <c r="FB791" s="96"/>
      <c r="FC791" s="96"/>
      <c r="FD791" s="96"/>
      <c r="FE791" s="96"/>
      <c r="FF791" s="96"/>
      <c r="FG791" s="96"/>
      <c r="FH791" s="96"/>
      <c r="FI791" s="96"/>
      <c r="FJ791" s="96"/>
      <c r="FK791" s="96"/>
      <c r="FL791" s="96"/>
      <c r="FM791" s="96"/>
      <c r="FN791" s="96"/>
      <c r="FO791" s="96"/>
      <c r="FP791" s="96"/>
      <c r="FQ791" s="96"/>
      <c r="FR791" s="96"/>
      <c r="FS791" s="96"/>
      <c r="FT791" s="96"/>
      <c r="FU791" s="96"/>
      <c r="FV791" s="96"/>
      <c r="FW791" s="96"/>
      <c r="FX791" s="96"/>
      <c r="FY791" s="96"/>
      <c r="FZ791" s="96"/>
      <c r="GA791" s="96"/>
      <c r="GB791" s="96"/>
      <c r="GC791" s="96"/>
      <c r="GD791" s="96"/>
      <c r="GE791" s="96"/>
      <c r="GF791" s="96"/>
      <c r="GG791" s="96"/>
      <c r="GH791" s="96"/>
      <c r="GI791" s="96"/>
      <c r="GJ791" s="96"/>
      <c r="GK791" s="96"/>
      <c r="GL791" s="96"/>
      <c r="GM791" s="96"/>
      <c r="GN791" s="96"/>
      <c r="GO791" s="96"/>
      <c r="GP791" s="96"/>
    </row>
    <row r="792" spans="1:198" ht="12.75" hidden="1" customHeight="1">
      <c r="A792" s="353"/>
      <c r="B792" s="374"/>
      <c r="C792" s="375"/>
      <c r="D792" s="370"/>
      <c r="E792" s="472"/>
      <c r="F792" s="382"/>
      <c r="G792" s="354"/>
      <c r="H792" s="159"/>
      <c r="I792" s="160" t="s">
        <v>26</v>
      </c>
      <c r="J792" s="202"/>
      <c r="K792" s="202"/>
      <c r="L792" s="161">
        <f t="shared" ref="L792:W792" si="254">SUM(L788:L791)</f>
        <v>0</v>
      </c>
      <c r="M792" s="161">
        <f t="shared" si="254"/>
        <v>0</v>
      </c>
      <c r="N792" s="161">
        <f t="shared" si="254"/>
        <v>0</v>
      </c>
      <c r="O792" s="161">
        <f t="shared" si="254"/>
        <v>0</v>
      </c>
      <c r="P792" s="161">
        <f t="shared" si="254"/>
        <v>0</v>
      </c>
      <c r="Q792" s="161">
        <f t="shared" si="254"/>
        <v>0</v>
      </c>
      <c r="R792" s="161">
        <f t="shared" si="254"/>
        <v>0</v>
      </c>
      <c r="S792" s="161">
        <f t="shared" si="254"/>
        <v>0</v>
      </c>
      <c r="T792" s="161">
        <f t="shared" si="254"/>
        <v>0</v>
      </c>
      <c r="U792" s="161">
        <f t="shared" si="254"/>
        <v>0</v>
      </c>
      <c r="V792" s="162">
        <f t="shared" si="254"/>
        <v>0</v>
      </c>
      <c r="W792" s="162">
        <f t="shared" si="254"/>
        <v>0</v>
      </c>
      <c r="X792" s="366"/>
      <c r="Y792" s="153"/>
      <c r="Z792" s="96"/>
      <c r="AA792" s="96"/>
      <c r="AB792" s="96"/>
      <c r="AC792" s="96"/>
      <c r="AD792" s="96"/>
      <c r="AE792" s="96"/>
      <c r="AF792" s="96"/>
      <c r="AG792" s="96"/>
      <c r="AH792" s="96"/>
      <c r="AI792" s="96"/>
      <c r="AJ792" s="96"/>
      <c r="AK792" s="96"/>
      <c r="AL792" s="96"/>
      <c r="AM792" s="96"/>
      <c r="AN792" s="96"/>
      <c r="AO792" s="96"/>
      <c r="AP792" s="96"/>
      <c r="AQ792" s="96"/>
      <c r="AR792" s="96"/>
      <c r="AS792" s="96"/>
      <c r="AT792" s="96"/>
      <c r="AU792" s="96"/>
      <c r="AV792" s="96"/>
      <c r="AW792" s="96"/>
      <c r="AX792" s="96"/>
      <c r="AY792" s="96"/>
      <c r="AZ792" s="96"/>
      <c r="BA792" s="96"/>
      <c r="BB792" s="96"/>
      <c r="BC792" s="96"/>
      <c r="BD792" s="96"/>
      <c r="BE792" s="96"/>
      <c r="BF792" s="96"/>
      <c r="BG792" s="96"/>
      <c r="BH792" s="96"/>
      <c r="BI792" s="96"/>
      <c r="BJ792" s="96"/>
      <c r="BK792" s="96"/>
      <c r="BL792" s="96"/>
      <c r="BM792" s="96"/>
      <c r="BN792" s="96"/>
      <c r="BO792" s="96"/>
      <c r="BP792" s="96"/>
      <c r="BQ792" s="96"/>
      <c r="BR792" s="96"/>
      <c r="BS792" s="96"/>
      <c r="BT792" s="96"/>
      <c r="BU792" s="96"/>
      <c r="BV792" s="96"/>
      <c r="BW792" s="96"/>
      <c r="BX792" s="96"/>
      <c r="BY792" s="96"/>
      <c r="BZ792" s="96"/>
      <c r="CA792" s="96"/>
      <c r="CB792" s="96"/>
      <c r="CC792" s="96"/>
      <c r="CD792" s="96"/>
      <c r="CE792" s="96"/>
      <c r="CF792" s="96"/>
      <c r="CG792" s="96"/>
      <c r="CH792" s="96"/>
      <c r="CI792" s="96"/>
      <c r="CJ792" s="96"/>
      <c r="CK792" s="96"/>
      <c r="CL792" s="96"/>
      <c r="CM792" s="96"/>
      <c r="CN792" s="96"/>
      <c r="CO792" s="96"/>
      <c r="CP792" s="96"/>
      <c r="CQ792" s="96"/>
      <c r="CR792" s="96"/>
      <c r="CS792" s="96"/>
      <c r="CT792" s="96"/>
      <c r="CU792" s="96"/>
      <c r="CV792" s="96"/>
      <c r="CW792" s="96"/>
      <c r="CX792" s="96"/>
      <c r="CY792" s="96"/>
      <c r="CZ792" s="96"/>
      <c r="DA792" s="96"/>
      <c r="DB792" s="96"/>
      <c r="DC792" s="96"/>
      <c r="DD792" s="96"/>
      <c r="DE792" s="96"/>
      <c r="DF792" s="96"/>
      <c r="DG792" s="96"/>
      <c r="DH792" s="96"/>
      <c r="DI792" s="96"/>
      <c r="DJ792" s="96"/>
      <c r="DK792" s="96"/>
      <c r="DL792" s="96"/>
      <c r="DM792" s="96"/>
      <c r="DN792" s="96"/>
      <c r="DO792" s="96"/>
      <c r="DP792" s="96"/>
      <c r="DQ792" s="96"/>
      <c r="DR792" s="96"/>
      <c r="DS792" s="96"/>
      <c r="DT792" s="96"/>
      <c r="DU792" s="96"/>
      <c r="DV792" s="96"/>
      <c r="DW792" s="96"/>
      <c r="DX792" s="96"/>
      <c r="DY792" s="96"/>
      <c r="DZ792" s="96"/>
      <c r="EA792" s="96"/>
      <c r="EB792" s="96"/>
      <c r="EC792" s="96"/>
      <c r="ED792" s="96"/>
      <c r="EE792" s="96"/>
      <c r="EF792" s="96"/>
      <c r="EG792" s="96"/>
      <c r="EH792" s="96"/>
      <c r="EI792" s="96"/>
      <c r="EJ792" s="96"/>
      <c r="EK792" s="96"/>
      <c r="EL792" s="96"/>
      <c r="EM792" s="96"/>
      <c r="EN792" s="96"/>
      <c r="EO792" s="96"/>
      <c r="EP792" s="96"/>
      <c r="EQ792" s="96"/>
      <c r="ER792" s="96"/>
      <c r="ES792" s="96"/>
      <c r="ET792" s="96"/>
      <c r="EU792" s="96"/>
      <c r="EV792" s="96"/>
      <c r="EW792" s="96"/>
      <c r="EX792" s="96"/>
      <c r="EY792" s="96"/>
      <c r="EZ792" s="96"/>
      <c r="FA792" s="96"/>
      <c r="FB792" s="96"/>
      <c r="FC792" s="96"/>
      <c r="FD792" s="96"/>
      <c r="FE792" s="96"/>
      <c r="FF792" s="96"/>
      <c r="FG792" s="96"/>
      <c r="FH792" s="96"/>
      <c r="FI792" s="96"/>
      <c r="FJ792" s="96"/>
      <c r="FK792" s="96"/>
      <c r="FL792" s="96"/>
      <c r="FM792" s="96"/>
      <c r="FN792" s="96"/>
      <c r="FO792" s="96"/>
      <c r="FP792" s="96"/>
      <c r="FQ792" s="96"/>
      <c r="FR792" s="96"/>
      <c r="FS792" s="96"/>
      <c r="FT792" s="96"/>
      <c r="FU792" s="96"/>
      <c r="FV792" s="96"/>
      <c r="FW792" s="96"/>
      <c r="FX792" s="96"/>
      <c r="FY792" s="96"/>
      <c r="FZ792" s="96"/>
      <c r="GA792" s="96"/>
      <c r="GB792" s="96"/>
      <c r="GC792" s="96"/>
      <c r="GD792" s="96"/>
      <c r="GE792" s="96"/>
      <c r="GF792" s="96"/>
      <c r="GG792" s="96"/>
      <c r="GH792" s="96"/>
      <c r="GI792" s="96"/>
      <c r="GJ792" s="96"/>
      <c r="GK792" s="96"/>
      <c r="GL792" s="96"/>
      <c r="GM792" s="96"/>
      <c r="GN792" s="96"/>
      <c r="GO792" s="96"/>
      <c r="GP792" s="96"/>
    </row>
    <row r="793" spans="1:198" hidden="1">
      <c r="A793" s="55"/>
      <c r="B793" s="23"/>
      <c r="C793" s="23"/>
      <c r="D793" s="23"/>
      <c r="E793" s="23"/>
      <c r="F793" s="23"/>
      <c r="G793" s="23"/>
      <c r="H793" s="23"/>
      <c r="I793" s="401"/>
      <c r="J793" s="401"/>
      <c r="K793" s="401"/>
      <c r="L793" s="401"/>
      <c r="M793" s="240"/>
      <c r="N793" s="240"/>
      <c r="O793" s="240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 ht="15" hidden="1" customHeight="1">
      <c r="A794" s="55"/>
      <c r="B794" s="23"/>
      <c r="C794" s="23"/>
      <c r="D794" s="23"/>
      <c r="E794" s="23"/>
      <c r="F794" s="23"/>
      <c r="G794" s="23"/>
      <c r="H794" s="23"/>
      <c r="I794" s="401"/>
      <c r="J794" s="401"/>
      <c r="K794" s="401"/>
      <c r="L794" s="401"/>
      <c r="M794" s="246"/>
      <c r="N794" s="246"/>
      <c r="O794" s="246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 hidden="1">
      <c r="A795" s="55"/>
      <c r="B795" s="23"/>
      <c r="C795" s="23"/>
      <c r="D795" s="23"/>
      <c r="E795" s="23"/>
      <c r="F795" s="23"/>
      <c r="G795" s="23"/>
      <c r="H795" s="23"/>
      <c r="I795" s="401"/>
      <c r="J795" s="401"/>
      <c r="K795" s="401"/>
      <c r="L795" s="401"/>
      <c r="M795" s="239"/>
      <c r="N795" s="239"/>
      <c r="O795" s="239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 hidden="1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 hidden="1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 hidden="1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 hidden="1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 hidden="1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idden="1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idden="1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idden="1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idden="1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idden="1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idden="1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idden="1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idden="1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idden="1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idden="1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idden="1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idden="1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idden="1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idden="1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idden="1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idden="1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idden="1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idden="1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idden="1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idden="1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idden="1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idden="1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idden="1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idden="1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idden="1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idden="1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idden="1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idden="1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idden="1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idden="1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idden="1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idden="1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idden="1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idden="1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idden="1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idden="1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idden="1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idden="1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idden="1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idden="1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idden="1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idden="1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idden="1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idden="1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idden="1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idden="1">
      <c r="A846" s="55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</row>
    <row r="847" spans="1:24" hidden="1">
      <c r="A847" s="55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</row>
    <row r="848" spans="1:24" hidden="1">
      <c r="A848" s="55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</row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spans="1:24" hidden="1"/>
    <row r="17026" spans="1:24" hidden="1"/>
    <row r="17027" spans="1:24" hidden="1"/>
    <row r="17028" spans="1:24" hidden="1"/>
    <row r="17029" spans="1:24" hidden="1"/>
    <row r="17030" spans="1:24" hidden="1"/>
    <row r="17031" spans="1:24" hidden="1"/>
    <row r="17032" spans="1:24" ht="11.25" hidden="1" customHeight="1">
      <c r="A17032" s="353">
        <v>69</v>
      </c>
      <c r="B17032" s="374" t="s">
        <v>239</v>
      </c>
      <c r="C17032" s="370">
        <v>2023</v>
      </c>
      <c r="D17032" s="370">
        <v>2024</v>
      </c>
      <c r="E17032" s="362" t="s">
        <v>27</v>
      </c>
      <c r="F17032" s="383"/>
      <c r="G17032" s="354">
        <v>92109</v>
      </c>
      <c r="H17032" s="165">
        <v>6050</v>
      </c>
      <c r="I17032" s="183" t="s">
        <v>28</v>
      </c>
      <c r="J17032" s="203"/>
      <c r="K17032" s="203"/>
      <c r="L17032" s="164">
        <v>0</v>
      </c>
      <c r="M17032" s="324">
        <v>0</v>
      </c>
      <c r="N17032" s="157"/>
      <c r="O17032" s="164"/>
      <c r="P17032" s="164"/>
      <c r="Q17032" s="164"/>
      <c r="R17032" s="164"/>
      <c r="S17032" s="164"/>
      <c r="T17032" s="164"/>
      <c r="U17032" s="164"/>
      <c r="V17032" s="157"/>
      <c r="W17032" s="157"/>
      <c r="X17032" s="355">
        <f>SUM(L17036:W17036)</f>
        <v>0</v>
      </c>
    </row>
    <row r="17033" spans="1:24" ht="11.25" hidden="1" customHeight="1">
      <c r="A17033" s="353"/>
      <c r="B17033" s="374"/>
      <c r="C17033" s="370"/>
      <c r="D17033" s="370"/>
      <c r="E17033" s="362"/>
      <c r="F17033" s="383"/>
      <c r="G17033" s="354"/>
      <c r="H17033" s="165"/>
      <c r="I17033" s="166" t="s">
        <v>28</v>
      </c>
      <c r="J17033" s="204"/>
      <c r="K17033" s="205"/>
      <c r="L17033" s="157"/>
      <c r="M17033" s="157"/>
      <c r="N17033" s="157"/>
      <c r="O17033" s="164"/>
      <c r="P17033" s="164"/>
      <c r="Q17033" s="164"/>
      <c r="R17033" s="164"/>
      <c r="S17033" s="164"/>
      <c r="T17033" s="164"/>
      <c r="U17033" s="164"/>
      <c r="V17033" s="157"/>
      <c r="W17033" s="157"/>
      <c r="X17033" s="355"/>
    </row>
    <row r="17034" spans="1:24" ht="11.25" hidden="1" customHeight="1">
      <c r="A17034" s="353"/>
      <c r="B17034" s="374"/>
      <c r="C17034" s="370"/>
      <c r="D17034" s="370"/>
      <c r="E17034" s="362"/>
      <c r="F17034" s="383"/>
      <c r="G17034" s="354"/>
      <c r="H17034" s="165"/>
      <c r="I17034" s="168" t="s">
        <v>30</v>
      </c>
      <c r="J17034" s="202"/>
      <c r="K17034" s="202"/>
      <c r="L17034" s="157"/>
      <c r="M17034" s="157"/>
      <c r="N17034" s="157"/>
      <c r="O17034" s="157"/>
      <c r="P17034" s="157"/>
      <c r="Q17034" s="157"/>
      <c r="R17034" s="157"/>
      <c r="S17034" s="157"/>
      <c r="T17034" s="157"/>
      <c r="U17034" s="157"/>
      <c r="V17034" s="157"/>
      <c r="W17034" s="157"/>
      <c r="X17034" s="355"/>
    </row>
    <row r="17035" spans="1:24" ht="11.25" hidden="1" customHeight="1">
      <c r="A17035" s="353"/>
      <c r="B17035" s="374"/>
      <c r="C17035" s="370"/>
      <c r="D17035" s="370"/>
      <c r="E17035" s="362"/>
      <c r="F17035" s="383"/>
      <c r="G17035" s="354"/>
      <c r="H17035" s="244"/>
      <c r="I17035" s="155" t="s">
        <v>55</v>
      </c>
      <c r="J17035" s="202"/>
      <c r="K17035" s="202"/>
      <c r="L17035" s="157"/>
      <c r="M17035" s="157"/>
      <c r="N17035" s="157"/>
      <c r="O17035" s="157"/>
      <c r="P17035" s="157"/>
      <c r="Q17035" s="157"/>
      <c r="R17035" s="157"/>
      <c r="S17035" s="157"/>
      <c r="T17035" s="157"/>
      <c r="U17035" s="157"/>
      <c r="V17035" s="157"/>
      <c r="W17035" s="157"/>
      <c r="X17035" s="355"/>
    </row>
    <row r="17036" spans="1:24" ht="12.75" hidden="1" customHeight="1">
      <c r="A17036" s="353"/>
      <c r="B17036" s="374"/>
      <c r="C17036" s="370"/>
      <c r="D17036" s="370"/>
      <c r="E17036" s="362"/>
      <c r="F17036" s="383"/>
      <c r="G17036" s="354"/>
      <c r="H17036" s="315"/>
      <c r="I17036" s="160" t="s">
        <v>26</v>
      </c>
      <c r="J17036" s="202"/>
      <c r="K17036" s="202"/>
      <c r="L17036" s="161">
        <f t="shared" ref="L17036:W17036" si="255">SUM(L17032:L17035)</f>
        <v>0</v>
      </c>
      <c r="M17036" s="161">
        <f t="shared" si="255"/>
        <v>0</v>
      </c>
      <c r="N17036" s="161">
        <f t="shared" si="255"/>
        <v>0</v>
      </c>
      <c r="O17036" s="161">
        <f t="shared" si="255"/>
        <v>0</v>
      </c>
      <c r="P17036" s="161">
        <f t="shared" si="255"/>
        <v>0</v>
      </c>
      <c r="Q17036" s="161">
        <f t="shared" si="255"/>
        <v>0</v>
      </c>
      <c r="R17036" s="161">
        <f t="shared" si="255"/>
        <v>0</v>
      </c>
      <c r="S17036" s="161">
        <f t="shared" si="255"/>
        <v>0</v>
      </c>
      <c r="T17036" s="161">
        <f t="shared" si="255"/>
        <v>0</v>
      </c>
      <c r="U17036" s="161">
        <f t="shared" si="255"/>
        <v>0</v>
      </c>
      <c r="V17036" s="162">
        <f t="shared" si="255"/>
        <v>0</v>
      </c>
      <c r="W17036" s="162">
        <f t="shared" si="255"/>
        <v>0</v>
      </c>
      <c r="X17036" s="355"/>
    </row>
    <row r="17037" spans="1:24" hidden="1"/>
    <row r="17038" spans="1:24" hidden="1"/>
    <row r="17039" spans="1:24" hidden="1"/>
    <row r="17040" spans="1:24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spans="13:13" hidden="1"/>
    <row r="20546" spans="13:13" hidden="1"/>
    <row r="20547" spans="13:13" hidden="1"/>
    <row r="20548" spans="13:13" hidden="1"/>
    <row r="20549" spans="13:13" hidden="1"/>
    <row r="20550" spans="13:13" hidden="1"/>
    <row r="20551" spans="13:13" hidden="1"/>
    <row r="20552" spans="13:13" hidden="1"/>
    <row r="20553" spans="13:13" hidden="1"/>
    <row r="20554" spans="13:13" hidden="1"/>
    <row r="20555" spans="13:13" hidden="1"/>
    <row r="20556" spans="13:13" hidden="1"/>
    <row r="20557" spans="13:13" hidden="1"/>
    <row r="20558" spans="13:13" hidden="1"/>
    <row r="20559" spans="13:13" hidden="1">
      <c r="M20559" s="316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  <row r="20616" spans="13:13">
      <c r="M20616" s="1"/>
    </row>
    <row r="20617" spans="13:13">
      <c r="M20617" s="1"/>
    </row>
    <row r="20618" spans="13:13">
      <c r="M20618" s="1"/>
    </row>
  </sheetData>
  <mergeCells count="1217">
    <mergeCell ref="X232:X236"/>
    <mergeCell ref="X257:X261"/>
    <mergeCell ref="F247:F251"/>
    <mergeCell ref="G277:G281"/>
    <mergeCell ref="G357:G361"/>
    <mergeCell ref="E362:E366"/>
    <mergeCell ref="D457:D461"/>
    <mergeCell ref="E457:E461"/>
    <mergeCell ref="F467:F471"/>
    <mergeCell ref="E477:E481"/>
    <mergeCell ref="E357:E361"/>
    <mergeCell ref="D357:D361"/>
    <mergeCell ref="G517:G521"/>
    <mergeCell ref="F457:F461"/>
    <mergeCell ref="G372:G376"/>
    <mergeCell ref="E387:E391"/>
    <mergeCell ref="X367:X371"/>
    <mergeCell ref="G66:G71"/>
    <mergeCell ref="X66:X71"/>
    <mergeCell ref="X372:X376"/>
    <mergeCell ref="E437:E441"/>
    <mergeCell ref="X527:X531"/>
    <mergeCell ref="X532:X536"/>
    <mergeCell ref="X542:X546"/>
    <mergeCell ref="A557:A561"/>
    <mergeCell ref="D467:D471"/>
    <mergeCell ref="E467:E471"/>
    <mergeCell ref="A482:A486"/>
    <mergeCell ref="B577:B581"/>
    <mergeCell ref="B572:B576"/>
    <mergeCell ref="A477:A481"/>
    <mergeCell ref="B522:B526"/>
    <mergeCell ref="C497:C501"/>
    <mergeCell ref="G482:G486"/>
    <mergeCell ref="E567:E571"/>
    <mergeCell ref="E532:E536"/>
    <mergeCell ref="G572:G576"/>
    <mergeCell ref="G547:G551"/>
    <mergeCell ref="E482:E486"/>
    <mergeCell ref="C572:C576"/>
    <mergeCell ref="D557:D561"/>
    <mergeCell ref="C557:C561"/>
    <mergeCell ref="C542:C546"/>
    <mergeCell ref="F537:F541"/>
    <mergeCell ref="F542:F546"/>
    <mergeCell ref="C527:C531"/>
    <mergeCell ref="D507:D511"/>
    <mergeCell ref="X512:X516"/>
    <mergeCell ref="X572:X576"/>
    <mergeCell ref="A622:A626"/>
    <mergeCell ref="E602:E606"/>
    <mergeCell ref="E622:E626"/>
    <mergeCell ref="C622:C626"/>
    <mergeCell ref="D617:D621"/>
    <mergeCell ref="C693:C697"/>
    <mergeCell ref="D693:D697"/>
    <mergeCell ref="G743:G747"/>
    <mergeCell ref="A733:A737"/>
    <mergeCell ref="F733:F737"/>
    <mergeCell ref="B637:B641"/>
    <mergeCell ref="G688:G692"/>
    <mergeCell ref="B642:B646"/>
    <mergeCell ref="F597:F601"/>
    <mergeCell ref="B607:B611"/>
    <mergeCell ref="A542:A546"/>
    <mergeCell ref="G492:G496"/>
    <mergeCell ref="E693:E697"/>
    <mergeCell ref="F693:F697"/>
    <mergeCell ref="B662:B666"/>
    <mergeCell ref="D662:D666"/>
    <mergeCell ref="G632:G636"/>
    <mergeCell ref="G567:G571"/>
    <mergeCell ref="G557:G561"/>
    <mergeCell ref="F587:F591"/>
    <mergeCell ref="G647:G651"/>
    <mergeCell ref="F622:F626"/>
    <mergeCell ref="F627:F631"/>
    <mergeCell ref="E642:E646"/>
    <mergeCell ref="E632:E636"/>
    <mergeCell ref="C632:C636"/>
    <mergeCell ref="F582:F586"/>
    <mergeCell ref="A682:A687"/>
    <mergeCell ref="G637:G641"/>
    <mergeCell ref="E66:E71"/>
    <mergeCell ref="X738:X742"/>
    <mergeCell ref="C788:C792"/>
    <mergeCell ref="F788:F792"/>
    <mergeCell ref="G788:G792"/>
    <mergeCell ref="B758:B762"/>
    <mergeCell ref="C723:C727"/>
    <mergeCell ref="B718:B722"/>
    <mergeCell ref="A753:A757"/>
    <mergeCell ref="E758:E762"/>
    <mergeCell ref="X768:X772"/>
    <mergeCell ref="G783:G787"/>
    <mergeCell ref="A728:A732"/>
    <mergeCell ref="B728:B732"/>
    <mergeCell ref="C728:C732"/>
    <mergeCell ref="X688:X692"/>
    <mergeCell ref="C647:C651"/>
    <mergeCell ref="D647:D651"/>
    <mergeCell ref="C698:C702"/>
    <mergeCell ref="G703:G707"/>
    <mergeCell ref="G672:G676"/>
    <mergeCell ref="X662:X666"/>
    <mergeCell ref="B652:B656"/>
    <mergeCell ref="C703:C707"/>
    <mergeCell ref="A662:A666"/>
    <mergeCell ref="C682:C687"/>
    <mergeCell ref="B688:B692"/>
    <mergeCell ref="A66:A71"/>
    <mergeCell ref="G748:G752"/>
    <mergeCell ref="B723:B727"/>
    <mergeCell ref="A372:A376"/>
    <mergeCell ref="A48:A52"/>
    <mergeCell ref="B48:B52"/>
    <mergeCell ref="A487:A491"/>
    <mergeCell ref="B487:B491"/>
    <mergeCell ref="C487:C491"/>
    <mergeCell ref="D487:D491"/>
    <mergeCell ref="E487:E491"/>
    <mergeCell ref="F487:F491"/>
    <mergeCell ref="A492:A496"/>
    <mergeCell ref="B492:B496"/>
    <mergeCell ref="C492:C496"/>
    <mergeCell ref="D492:D496"/>
    <mergeCell ref="E492:E496"/>
    <mergeCell ref="F492:F496"/>
    <mergeCell ref="B59:E59"/>
    <mergeCell ref="E547:E551"/>
    <mergeCell ref="D452:D456"/>
    <mergeCell ref="C352:C356"/>
    <mergeCell ref="C537:C541"/>
    <mergeCell ref="B387:B391"/>
    <mergeCell ref="B452:B456"/>
    <mergeCell ref="B542:B546"/>
    <mergeCell ref="D472:D476"/>
    <mergeCell ref="D367:D371"/>
    <mergeCell ref="D387:D391"/>
    <mergeCell ref="E517:E521"/>
    <mergeCell ref="D442:D446"/>
    <mergeCell ref="F352:F356"/>
    <mergeCell ref="C387:C391"/>
    <mergeCell ref="F527:F531"/>
    <mergeCell ref="D502:D506"/>
    <mergeCell ref="X788:X792"/>
    <mergeCell ref="F783:F787"/>
    <mergeCell ref="D743:D747"/>
    <mergeCell ref="E718:E722"/>
    <mergeCell ref="F773:F777"/>
    <mergeCell ref="G773:G777"/>
    <mergeCell ref="A788:A792"/>
    <mergeCell ref="B788:B792"/>
    <mergeCell ref="B753:B757"/>
    <mergeCell ref="D788:D792"/>
    <mergeCell ref="E788:E792"/>
    <mergeCell ref="E783:E787"/>
    <mergeCell ref="F778:F782"/>
    <mergeCell ref="G778:G782"/>
    <mergeCell ref="E778:E782"/>
    <mergeCell ref="D778:D782"/>
    <mergeCell ref="F738:F742"/>
    <mergeCell ref="B773:B777"/>
    <mergeCell ref="C748:C752"/>
    <mergeCell ref="B778:B782"/>
    <mergeCell ref="C758:C762"/>
    <mergeCell ref="A773:A777"/>
    <mergeCell ref="B768:B772"/>
    <mergeCell ref="C778:C782"/>
    <mergeCell ref="A763:A767"/>
    <mergeCell ref="C773:C777"/>
    <mergeCell ref="E763:E767"/>
    <mergeCell ref="F763:F767"/>
    <mergeCell ref="D768:D772"/>
    <mergeCell ref="E768:E772"/>
    <mergeCell ref="B693:B697"/>
    <mergeCell ref="A677:A681"/>
    <mergeCell ref="C507:C511"/>
    <mergeCell ref="F652:F656"/>
    <mergeCell ref="A647:A651"/>
    <mergeCell ref="B612:B616"/>
    <mergeCell ref="B582:B586"/>
    <mergeCell ref="F748:F752"/>
    <mergeCell ref="B763:B767"/>
    <mergeCell ref="C763:C767"/>
    <mergeCell ref="D753:D757"/>
    <mergeCell ref="G758:G762"/>
    <mergeCell ref="A708:A712"/>
    <mergeCell ref="B672:B676"/>
    <mergeCell ref="A562:A566"/>
    <mergeCell ref="A572:A576"/>
    <mergeCell ref="A582:A586"/>
    <mergeCell ref="A567:A571"/>
    <mergeCell ref="A587:A591"/>
    <mergeCell ref="D527:D531"/>
    <mergeCell ref="B537:B541"/>
    <mergeCell ref="B557:B561"/>
    <mergeCell ref="C532:C536"/>
    <mergeCell ref="C577:C581"/>
    <mergeCell ref="F577:F581"/>
    <mergeCell ref="A547:A551"/>
    <mergeCell ref="C602:C606"/>
    <mergeCell ref="D547:D551"/>
    <mergeCell ref="F532:F536"/>
    <mergeCell ref="A602:A606"/>
    <mergeCell ref="F632:F636"/>
    <mergeCell ref="E607:E611"/>
    <mergeCell ref="G617:G621"/>
    <mergeCell ref="F557:F561"/>
    <mergeCell ref="F482:F486"/>
    <mergeCell ref="G612:G616"/>
    <mergeCell ref="F562:F566"/>
    <mergeCell ref="G562:G566"/>
    <mergeCell ref="B617:B621"/>
    <mergeCell ref="A612:A616"/>
    <mergeCell ref="C612:C616"/>
    <mergeCell ref="C502:C506"/>
    <mergeCell ref="A427:A431"/>
    <mergeCell ref="C427:C431"/>
    <mergeCell ref="B457:B461"/>
    <mergeCell ref="X537:X541"/>
    <mergeCell ref="E557:E561"/>
    <mergeCell ref="B592:B596"/>
    <mergeCell ref="C597:C601"/>
    <mergeCell ref="G592:G596"/>
    <mergeCell ref="D572:D576"/>
    <mergeCell ref="D567:D571"/>
    <mergeCell ref="B432:B436"/>
    <mergeCell ref="F617:F621"/>
    <mergeCell ref="E612:E616"/>
    <mergeCell ref="F462:F466"/>
    <mergeCell ref="D612:D616"/>
    <mergeCell ref="C482:C486"/>
    <mergeCell ref="D482:D486"/>
    <mergeCell ref="B482:B486"/>
    <mergeCell ref="F612:F616"/>
    <mergeCell ref="X577:X581"/>
    <mergeCell ref="X562:X566"/>
    <mergeCell ref="F567:F571"/>
    <mergeCell ref="G622:G626"/>
    <mergeCell ref="G642:G646"/>
    <mergeCell ref="A693:A697"/>
    <mergeCell ref="X597:X601"/>
    <mergeCell ref="B477:B481"/>
    <mergeCell ref="B552:B556"/>
    <mergeCell ref="D537:D541"/>
    <mergeCell ref="G582:G586"/>
    <mergeCell ref="G537:G541"/>
    <mergeCell ref="E542:E546"/>
    <mergeCell ref="B547:B551"/>
    <mergeCell ref="C607:C611"/>
    <mergeCell ref="E462:E466"/>
    <mergeCell ref="E527:E531"/>
    <mergeCell ref="A457:A461"/>
    <mergeCell ref="A432:A436"/>
    <mergeCell ref="C452:C456"/>
    <mergeCell ref="X517:X521"/>
    <mergeCell ref="X442:X446"/>
    <mergeCell ref="C642:C646"/>
    <mergeCell ref="C637:C641"/>
    <mergeCell ref="E662:E666"/>
    <mergeCell ref="X582:X586"/>
    <mergeCell ref="X637:X641"/>
    <mergeCell ref="X642:X646"/>
    <mergeCell ref="B647:B651"/>
    <mergeCell ref="A452:A456"/>
    <mergeCell ref="G447:G451"/>
    <mergeCell ref="B447:B451"/>
    <mergeCell ref="A447:A451"/>
    <mergeCell ref="D447:D451"/>
    <mergeCell ref="D437:D441"/>
    <mergeCell ref="A497:A501"/>
    <mergeCell ref="E427:E431"/>
    <mergeCell ref="E507:E511"/>
    <mergeCell ref="E447:E451"/>
    <mergeCell ref="G552:G556"/>
    <mergeCell ref="D517:D521"/>
    <mergeCell ref="F507:F511"/>
    <mergeCell ref="F442:F446"/>
    <mergeCell ref="G477:G481"/>
    <mergeCell ref="G507:G511"/>
    <mergeCell ref="D552:D556"/>
    <mergeCell ref="G442:G446"/>
    <mergeCell ref="C592:C596"/>
    <mergeCell ref="G577:G581"/>
    <mergeCell ref="A462:A466"/>
    <mergeCell ref="B462:B466"/>
    <mergeCell ref="D427:D431"/>
    <mergeCell ref="D432:D436"/>
    <mergeCell ref="E442:E446"/>
    <mergeCell ref="E592:E596"/>
    <mergeCell ref="A592:A596"/>
    <mergeCell ref="A552:A556"/>
    <mergeCell ref="C547:C551"/>
    <mergeCell ref="C457:C461"/>
    <mergeCell ref="G427:G431"/>
    <mergeCell ref="F477:F481"/>
    <mergeCell ref="G497:G501"/>
    <mergeCell ref="E522:E526"/>
    <mergeCell ref="F402:F406"/>
    <mergeCell ref="X447:X451"/>
    <mergeCell ref="X487:X491"/>
    <mergeCell ref="X437:X441"/>
    <mergeCell ref="E552:E556"/>
    <mergeCell ref="F397:F401"/>
    <mergeCell ref="X482:X486"/>
    <mergeCell ref="X477:X481"/>
    <mergeCell ref="X492:X496"/>
    <mergeCell ref="X502:X506"/>
    <mergeCell ref="F472:F476"/>
    <mergeCell ref="G472:G476"/>
    <mergeCell ref="G487:G491"/>
    <mergeCell ref="F502:F506"/>
    <mergeCell ref="X452:X456"/>
    <mergeCell ref="D607:D611"/>
    <mergeCell ref="D592:D596"/>
    <mergeCell ref="E577:E581"/>
    <mergeCell ref="D562:D566"/>
    <mergeCell ref="F497:F501"/>
    <mergeCell ref="F607:F611"/>
    <mergeCell ref="G602:G606"/>
    <mergeCell ref="E402:E406"/>
    <mergeCell ref="F407:F411"/>
    <mergeCell ref="X412:X416"/>
    <mergeCell ref="X522:X526"/>
    <mergeCell ref="X497:X501"/>
    <mergeCell ref="E472:E476"/>
    <mergeCell ref="G402:G406"/>
    <mergeCell ref="G502:G506"/>
    <mergeCell ref="F552:F556"/>
    <mergeCell ref="G397:G401"/>
    <mergeCell ref="E452:E456"/>
    <mergeCell ref="F452:F456"/>
    <mergeCell ref="X422:X426"/>
    <mergeCell ref="B357:B361"/>
    <mergeCell ref="C357:C361"/>
    <mergeCell ref="G307:G311"/>
    <mergeCell ref="F337:F341"/>
    <mergeCell ref="G347:G351"/>
    <mergeCell ref="G362:G366"/>
    <mergeCell ref="X392:X396"/>
    <mergeCell ref="X387:X391"/>
    <mergeCell ref="C442:C446"/>
    <mergeCell ref="D412:D416"/>
    <mergeCell ref="C397:C401"/>
    <mergeCell ref="G407:G411"/>
    <mergeCell ref="F437:F441"/>
    <mergeCell ref="E407:E411"/>
    <mergeCell ref="F412:F416"/>
    <mergeCell ref="G457:G461"/>
    <mergeCell ref="C437:C441"/>
    <mergeCell ref="B397:B401"/>
    <mergeCell ref="C402:C406"/>
    <mergeCell ref="E307:E311"/>
    <mergeCell ref="C332:C336"/>
    <mergeCell ref="C337:C341"/>
    <mergeCell ref="F392:F396"/>
    <mergeCell ref="E397:E401"/>
    <mergeCell ref="F362:F366"/>
    <mergeCell ref="B377:B381"/>
    <mergeCell ref="C362:C366"/>
    <mergeCell ref="E332:E336"/>
    <mergeCell ref="E372:E376"/>
    <mergeCell ref="C342:C346"/>
    <mergeCell ref="F342:F346"/>
    <mergeCell ref="E342:E346"/>
    <mergeCell ref="B407:B411"/>
    <mergeCell ref="C312:C316"/>
    <mergeCell ref="G322:G326"/>
    <mergeCell ref="X287:X291"/>
    <mergeCell ref="X297:X301"/>
    <mergeCell ref="X292:X296"/>
    <mergeCell ref="X332:X336"/>
    <mergeCell ref="X322:X326"/>
    <mergeCell ref="F287:F291"/>
    <mergeCell ref="F312:F316"/>
    <mergeCell ref="E297:E301"/>
    <mergeCell ref="E287:E291"/>
    <mergeCell ref="F322:F326"/>
    <mergeCell ref="X302:X306"/>
    <mergeCell ref="X402:X406"/>
    <mergeCell ref="G367:G371"/>
    <mergeCell ref="E367:E371"/>
    <mergeCell ref="X397:X401"/>
    <mergeCell ref="F367:F371"/>
    <mergeCell ref="F372:F376"/>
    <mergeCell ref="X377:X381"/>
    <mergeCell ref="G392:G396"/>
    <mergeCell ref="X347:X351"/>
    <mergeCell ref="X337:X341"/>
    <mergeCell ref="B312:B316"/>
    <mergeCell ref="F332:F336"/>
    <mergeCell ref="B332:B336"/>
    <mergeCell ref="X53:X58"/>
    <mergeCell ref="E60:E65"/>
    <mergeCell ref="X190:X194"/>
    <mergeCell ref="X216:X220"/>
    <mergeCell ref="E190:E194"/>
    <mergeCell ref="F190:F194"/>
    <mergeCell ref="E206:E210"/>
    <mergeCell ref="X106:X111"/>
    <mergeCell ref="X118:X121"/>
    <mergeCell ref="X242:X246"/>
    <mergeCell ref="X247:X251"/>
    <mergeCell ref="X206:X210"/>
    <mergeCell ref="X185:X189"/>
    <mergeCell ref="G144:G148"/>
    <mergeCell ref="E216:E220"/>
    <mergeCell ref="G211:G215"/>
    <mergeCell ref="B66:B71"/>
    <mergeCell ref="C66:C71"/>
    <mergeCell ref="C327:C331"/>
    <mergeCell ref="F206:F210"/>
    <mergeCell ref="E211:E215"/>
    <mergeCell ref="G242:G246"/>
    <mergeCell ref="B123:E123"/>
    <mergeCell ref="X237:X241"/>
    <mergeCell ref="F232:F236"/>
    <mergeCell ref="D237:D241"/>
    <mergeCell ref="C53:C58"/>
    <mergeCell ref="B317:B321"/>
    <mergeCell ref="B60:B65"/>
    <mergeCell ref="F118:F121"/>
    <mergeCell ref="E100:E105"/>
    <mergeCell ref="B185:B189"/>
    <mergeCell ref="F185:F189"/>
    <mergeCell ref="G221:G226"/>
    <mergeCell ref="A262:A266"/>
    <mergeCell ref="A221:A226"/>
    <mergeCell ref="G252:G256"/>
    <mergeCell ref="F237:F241"/>
    <mergeCell ref="E154:E158"/>
    <mergeCell ref="B170:B174"/>
    <mergeCell ref="C206:C210"/>
    <mergeCell ref="D185:D189"/>
    <mergeCell ref="F211:F215"/>
    <mergeCell ref="C170:C174"/>
    <mergeCell ref="B206:B210"/>
    <mergeCell ref="D201:D205"/>
    <mergeCell ref="E170:E174"/>
    <mergeCell ref="C164:C168"/>
    <mergeCell ref="D190:D194"/>
    <mergeCell ref="B159:B163"/>
    <mergeCell ref="F227:F231"/>
    <mergeCell ref="G232:G236"/>
    <mergeCell ref="B242:B246"/>
    <mergeCell ref="C237:C241"/>
    <mergeCell ref="C227:C231"/>
    <mergeCell ref="E227:E231"/>
    <mergeCell ref="A247:A251"/>
    <mergeCell ref="G170:G174"/>
    <mergeCell ref="D154:D158"/>
    <mergeCell ref="F221:F226"/>
    <mergeCell ref="C282:C286"/>
    <mergeCell ref="F267:F271"/>
    <mergeCell ref="D282:D286"/>
    <mergeCell ref="E312:E316"/>
    <mergeCell ref="G297:G301"/>
    <mergeCell ref="F282:F286"/>
    <mergeCell ref="C257:C261"/>
    <mergeCell ref="A312:A316"/>
    <mergeCell ref="B237:B241"/>
    <mergeCell ref="G247:G251"/>
    <mergeCell ref="A297:A301"/>
    <mergeCell ref="A272:A276"/>
    <mergeCell ref="A282:A286"/>
    <mergeCell ref="B282:B286"/>
    <mergeCell ref="A257:A261"/>
    <mergeCell ref="A227:A231"/>
    <mergeCell ref="E237:E241"/>
    <mergeCell ref="E282:E286"/>
    <mergeCell ref="D242:D246"/>
    <mergeCell ref="A287:A291"/>
    <mergeCell ref="D252:D256"/>
    <mergeCell ref="E252:E256"/>
    <mergeCell ref="F272:F276"/>
    <mergeCell ref="G282:G286"/>
    <mergeCell ref="D227:D231"/>
    <mergeCell ref="B682:B687"/>
    <mergeCell ref="B667:B671"/>
    <mergeCell ref="D667:D671"/>
    <mergeCell ref="E682:E687"/>
    <mergeCell ref="A672:A676"/>
    <mergeCell ref="E347:E351"/>
    <mergeCell ref="E221:E226"/>
    <mergeCell ref="C221:C226"/>
    <mergeCell ref="A237:A241"/>
    <mergeCell ref="A252:A256"/>
    <mergeCell ref="A267:A271"/>
    <mergeCell ref="A277:A281"/>
    <mergeCell ref="D347:D351"/>
    <mergeCell ref="E272:E276"/>
    <mergeCell ref="E317:E321"/>
    <mergeCell ref="A362:A366"/>
    <mergeCell ref="A377:A381"/>
    <mergeCell ref="B372:B376"/>
    <mergeCell ref="B257:B261"/>
    <mergeCell ref="E257:E261"/>
    <mergeCell ref="A327:A331"/>
    <mergeCell ref="A302:A306"/>
    <mergeCell ref="B247:B251"/>
    <mergeCell ref="D247:D251"/>
    <mergeCell ref="B221:B226"/>
    <mergeCell ref="D277:D281"/>
    <mergeCell ref="B272:B276"/>
    <mergeCell ref="E337:E341"/>
    <mergeCell ref="E322:E326"/>
    <mergeCell ref="D337:D341"/>
    <mergeCell ref="B297:B301"/>
    <mergeCell ref="D317:D321"/>
    <mergeCell ref="G216:G220"/>
    <mergeCell ref="E180:E184"/>
    <mergeCell ref="B211:B215"/>
    <mergeCell ref="C195:C200"/>
    <mergeCell ref="B267:B271"/>
    <mergeCell ref="C190:C194"/>
    <mergeCell ref="D216:D220"/>
    <mergeCell ref="B201:B205"/>
    <mergeCell ref="D211:D215"/>
    <mergeCell ref="F216:F220"/>
    <mergeCell ref="E247:E251"/>
    <mergeCell ref="E242:E246"/>
    <mergeCell ref="D221:D226"/>
    <mergeCell ref="C216:C220"/>
    <mergeCell ref="E195:E200"/>
    <mergeCell ref="B195:B200"/>
    <mergeCell ref="G154:G158"/>
    <mergeCell ref="B227:B231"/>
    <mergeCell ref="C232:C236"/>
    <mergeCell ref="C247:C251"/>
    <mergeCell ref="C242:C246"/>
    <mergeCell ref="B232:B236"/>
    <mergeCell ref="D232:D236"/>
    <mergeCell ref="D257:D261"/>
    <mergeCell ref="G262:G266"/>
    <mergeCell ref="G257:G261"/>
    <mergeCell ref="E267:E271"/>
    <mergeCell ref="F252:F256"/>
    <mergeCell ref="E262:E266"/>
    <mergeCell ref="G227:G231"/>
    <mergeCell ref="G267:G271"/>
    <mergeCell ref="E753:E757"/>
    <mergeCell ref="F718:F722"/>
    <mergeCell ref="D733:D737"/>
    <mergeCell ref="G723:G727"/>
    <mergeCell ref="X252:X256"/>
    <mergeCell ref="X327:X331"/>
    <mergeCell ref="X312:X316"/>
    <mergeCell ref="G327:G331"/>
    <mergeCell ref="B347:B351"/>
    <mergeCell ref="E327:E331"/>
    <mergeCell ref="D287:D291"/>
    <mergeCell ref="B292:B296"/>
    <mergeCell ref="E292:E296"/>
    <mergeCell ref="X262:X266"/>
    <mergeCell ref="C322:C326"/>
    <mergeCell ref="F277:F281"/>
    <mergeCell ref="C267:C271"/>
    <mergeCell ref="B337:B341"/>
    <mergeCell ref="D332:D336"/>
    <mergeCell ref="C252:C256"/>
    <mergeCell ref="D267:D271"/>
    <mergeCell ref="C277:C281"/>
    <mergeCell ref="B262:B266"/>
    <mergeCell ref="B327:B331"/>
    <mergeCell ref="D297:D301"/>
    <mergeCell ref="D262:D266"/>
    <mergeCell ref="D322:D326"/>
    <mergeCell ref="C262:C266"/>
    <mergeCell ref="D312:D316"/>
    <mergeCell ref="F297:F301"/>
    <mergeCell ref="X267:X271"/>
    <mergeCell ref="C272:C276"/>
    <mergeCell ref="X221:X226"/>
    <mergeCell ref="B216:B220"/>
    <mergeCell ref="E201:E205"/>
    <mergeCell ref="D342:D346"/>
    <mergeCell ref="G337:G341"/>
    <mergeCell ref="A758:A762"/>
    <mergeCell ref="A713:A717"/>
    <mergeCell ref="A748:A752"/>
    <mergeCell ref="B748:B752"/>
    <mergeCell ref="A723:A727"/>
    <mergeCell ref="E733:E737"/>
    <mergeCell ref="E713:E717"/>
    <mergeCell ref="X758:X762"/>
    <mergeCell ref="X718:X722"/>
    <mergeCell ref="B738:B742"/>
    <mergeCell ref="C733:C737"/>
    <mergeCell ref="D723:D727"/>
    <mergeCell ref="A718:A722"/>
    <mergeCell ref="F758:F762"/>
    <mergeCell ref="E748:E752"/>
    <mergeCell ref="F743:F747"/>
    <mergeCell ref="G738:G742"/>
    <mergeCell ref="A738:A742"/>
    <mergeCell ref="D748:D752"/>
    <mergeCell ref="B743:B747"/>
    <mergeCell ref="B713:B717"/>
    <mergeCell ref="F713:F717"/>
    <mergeCell ref="A216:A220"/>
    <mergeCell ref="C211:C215"/>
    <mergeCell ref="A211:A215"/>
    <mergeCell ref="C201:C205"/>
    <mergeCell ref="F201:F205"/>
    <mergeCell ref="X48:X52"/>
    <mergeCell ref="X149:X153"/>
    <mergeCell ref="F48:F52"/>
    <mergeCell ref="E48:E52"/>
    <mergeCell ref="F72:F77"/>
    <mergeCell ref="E78:E81"/>
    <mergeCell ref="F78:F81"/>
    <mergeCell ref="B367:B371"/>
    <mergeCell ref="F382:F386"/>
    <mergeCell ref="G382:G386"/>
    <mergeCell ref="D372:D376"/>
    <mergeCell ref="E302:E306"/>
    <mergeCell ref="D382:D386"/>
    <mergeCell ref="E382:E386"/>
    <mergeCell ref="G377:G381"/>
    <mergeCell ref="C377:C381"/>
    <mergeCell ref="F317:F321"/>
    <mergeCell ref="G342:G346"/>
    <mergeCell ref="G302:G306"/>
    <mergeCell ref="X352:X356"/>
    <mergeCell ref="B382:B386"/>
    <mergeCell ref="B122:E122"/>
    <mergeCell ref="B130:E130"/>
    <mergeCell ref="B137:E137"/>
    <mergeCell ref="B149:B153"/>
    <mergeCell ref="E53:E58"/>
    <mergeCell ref="F53:F58"/>
    <mergeCell ref="G53:G58"/>
    <mergeCell ref="X211:X215"/>
    <mergeCell ref="X227:X231"/>
    <mergeCell ref="X201:X205"/>
    <mergeCell ref="X317:X321"/>
    <mergeCell ref="D53:D58"/>
    <mergeCell ref="D60:D65"/>
    <mergeCell ref="X357:X361"/>
    <mergeCell ref="D352:D356"/>
    <mergeCell ref="X382:X386"/>
    <mergeCell ref="C317:C321"/>
    <mergeCell ref="A743:A747"/>
    <mergeCell ref="F723:F727"/>
    <mergeCell ref="E738:E742"/>
    <mergeCell ref="C743:C747"/>
    <mergeCell ref="C708:C712"/>
    <mergeCell ref="G713:G717"/>
    <mergeCell ref="X698:X702"/>
    <mergeCell ref="G698:G702"/>
    <mergeCell ref="X682:X687"/>
    <mergeCell ref="B708:B712"/>
    <mergeCell ref="E743:E747"/>
    <mergeCell ref="G677:G681"/>
    <mergeCell ref="X703:X707"/>
    <mergeCell ref="B698:B702"/>
    <mergeCell ref="G682:G687"/>
    <mergeCell ref="B733:B737"/>
    <mergeCell ref="D728:D732"/>
    <mergeCell ref="E728:E732"/>
    <mergeCell ref="D718:D722"/>
    <mergeCell ref="D713:D717"/>
    <mergeCell ref="G718:G722"/>
    <mergeCell ref="X733:X737"/>
    <mergeCell ref="X362:X366"/>
    <mergeCell ref="A347:A351"/>
    <mergeCell ref="A317:A321"/>
    <mergeCell ref="A100:A105"/>
    <mergeCell ref="B22:E22"/>
    <mergeCell ref="B23:B29"/>
    <mergeCell ref="C23:C29"/>
    <mergeCell ref="D23:D29"/>
    <mergeCell ref="E23:E29"/>
    <mergeCell ref="D30:D37"/>
    <mergeCell ref="E30:E37"/>
    <mergeCell ref="F30:F37"/>
    <mergeCell ref="G30:G37"/>
    <mergeCell ref="E43:E47"/>
    <mergeCell ref="G48:G52"/>
    <mergeCell ref="C38:C42"/>
    <mergeCell ref="D38:D42"/>
    <mergeCell ref="E38:E42"/>
    <mergeCell ref="F23:F29"/>
    <mergeCell ref="G23:G29"/>
    <mergeCell ref="B38:B42"/>
    <mergeCell ref="C43:C47"/>
    <mergeCell ref="D43:D47"/>
    <mergeCell ref="C48:C52"/>
    <mergeCell ref="D48:D52"/>
    <mergeCell ref="B30:B37"/>
    <mergeCell ref="C30:C37"/>
    <mergeCell ref="A1:A3"/>
    <mergeCell ref="B1:B3"/>
    <mergeCell ref="C1:D2"/>
    <mergeCell ref="E1:E3"/>
    <mergeCell ref="F1:F3"/>
    <mergeCell ref="G1:H2"/>
    <mergeCell ref="A23:A29"/>
    <mergeCell ref="F43:F47"/>
    <mergeCell ref="G43:G47"/>
    <mergeCell ref="G72:G77"/>
    <mergeCell ref="X72:X77"/>
    <mergeCell ref="F60:F65"/>
    <mergeCell ref="G60:G65"/>
    <mergeCell ref="X30:X37"/>
    <mergeCell ref="X43:X47"/>
    <mergeCell ref="F38:F42"/>
    <mergeCell ref="G38:G42"/>
    <mergeCell ref="X38:X42"/>
    <mergeCell ref="X60:X65"/>
    <mergeCell ref="A43:A47"/>
    <mergeCell ref="B43:B47"/>
    <mergeCell ref="A38:A42"/>
    <mergeCell ref="X1:X3"/>
    <mergeCell ref="I1:W2"/>
    <mergeCell ref="X23:X29"/>
    <mergeCell ref="B18:E18"/>
    <mergeCell ref="A30:A37"/>
    <mergeCell ref="B19:E19"/>
    <mergeCell ref="B20:E20"/>
    <mergeCell ref="B21:E21"/>
    <mergeCell ref="A60:A65"/>
    <mergeCell ref="E72:E77"/>
    <mergeCell ref="A195:A200"/>
    <mergeCell ref="A190:A194"/>
    <mergeCell ref="B190:B194"/>
    <mergeCell ref="D195:D200"/>
    <mergeCell ref="E118:E121"/>
    <mergeCell ref="B139:B143"/>
    <mergeCell ref="B124:B129"/>
    <mergeCell ref="A175:A179"/>
    <mergeCell ref="C185:C189"/>
    <mergeCell ref="E185:E189"/>
    <mergeCell ref="D87:D93"/>
    <mergeCell ref="A106:A111"/>
    <mergeCell ref="C87:C93"/>
    <mergeCell ref="F100:F105"/>
    <mergeCell ref="A144:A148"/>
    <mergeCell ref="E149:E153"/>
    <mergeCell ref="F87:F93"/>
    <mergeCell ref="F154:F158"/>
    <mergeCell ref="B118:B121"/>
    <mergeCell ref="C118:C121"/>
    <mergeCell ref="D118:D121"/>
    <mergeCell ref="D164:D168"/>
    <mergeCell ref="F170:F174"/>
    <mergeCell ref="F139:F143"/>
    <mergeCell ref="D66:D71"/>
    <mergeCell ref="D131:D136"/>
    <mergeCell ref="C60:C65"/>
    <mergeCell ref="F66:F71"/>
    <mergeCell ref="A201:A205"/>
    <mergeCell ref="A206:A210"/>
    <mergeCell ref="C72:C77"/>
    <mergeCell ref="D72:D77"/>
    <mergeCell ref="X139:X143"/>
    <mergeCell ref="G112:G117"/>
    <mergeCell ref="X87:X93"/>
    <mergeCell ref="D94:D99"/>
    <mergeCell ref="E94:E99"/>
    <mergeCell ref="F94:F99"/>
    <mergeCell ref="G94:G99"/>
    <mergeCell ref="B112:B117"/>
    <mergeCell ref="D124:D129"/>
    <mergeCell ref="B138:E138"/>
    <mergeCell ref="C139:C143"/>
    <mergeCell ref="E139:E143"/>
    <mergeCell ref="A139:A143"/>
    <mergeCell ref="A124:A129"/>
    <mergeCell ref="C100:C105"/>
    <mergeCell ref="A112:A117"/>
    <mergeCell ref="A82:A86"/>
    <mergeCell ref="B82:B86"/>
    <mergeCell ref="C82:C86"/>
    <mergeCell ref="X130:X136"/>
    <mergeCell ref="X82:X86"/>
    <mergeCell ref="D82:D86"/>
    <mergeCell ref="E82:E86"/>
    <mergeCell ref="F82:F86"/>
    <mergeCell ref="A72:A77"/>
    <mergeCell ref="G124:G129"/>
    <mergeCell ref="E124:E129"/>
    <mergeCell ref="D206:D210"/>
    <mergeCell ref="G139:G143"/>
    <mergeCell ref="B72:B77"/>
    <mergeCell ref="B78:B81"/>
    <mergeCell ref="A131:A136"/>
    <mergeCell ref="X123:X128"/>
    <mergeCell ref="G131:G136"/>
    <mergeCell ref="F149:F153"/>
    <mergeCell ref="G149:G153"/>
    <mergeCell ref="E159:E163"/>
    <mergeCell ref="X195:X200"/>
    <mergeCell ref="X170:X174"/>
    <mergeCell ref="B175:B179"/>
    <mergeCell ref="D139:D143"/>
    <mergeCell ref="E131:E136"/>
    <mergeCell ref="B131:B136"/>
    <mergeCell ref="C131:C136"/>
    <mergeCell ref="E144:E148"/>
    <mergeCell ref="F159:F163"/>
    <mergeCell ref="F124:F129"/>
    <mergeCell ref="F144:F148"/>
    <mergeCell ref="F195:F200"/>
    <mergeCell ref="X175:X179"/>
    <mergeCell ref="F131:F136"/>
    <mergeCell ref="C124:C129"/>
    <mergeCell ref="B169:E169"/>
    <mergeCell ref="D175:D179"/>
    <mergeCell ref="F175:F179"/>
    <mergeCell ref="B154:B158"/>
    <mergeCell ref="D78:D81"/>
    <mergeCell ref="A185:A189"/>
    <mergeCell ref="C94:C99"/>
    <mergeCell ref="A118:A121"/>
    <mergeCell ref="D100:D105"/>
    <mergeCell ref="X78:X81"/>
    <mergeCell ref="G87:G93"/>
    <mergeCell ref="D106:D111"/>
    <mergeCell ref="B100:B105"/>
    <mergeCell ref="A78:A81"/>
    <mergeCell ref="X94:X99"/>
    <mergeCell ref="G78:G81"/>
    <mergeCell ref="C112:C117"/>
    <mergeCell ref="D112:D117"/>
    <mergeCell ref="E112:E117"/>
    <mergeCell ref="X100:X105"/>
    <mergeCell ref="E106:E111"/>
    <mergeCell ref="F106:F111"/>
    <mergeCell ref="A87:A93"/>
    <mergeCell ref="A94:A99"/>
    <mergeCell ref="B87:B93"/>
    <mergeCell ref="G118:G121"/>
    <mergeCell ref="B106:B111"/>
    <mergeCell ref="C106:C111"/>
    <mergeCell ref="X112:X117"/>
    <mergeCell ref="B94:B99"/>
    <mergeCell ref="E87:E93"/>
    <mergeCell ref="C78:C81"/>
    <mergeCell ref="G106:G111"/>
    <mergeCell ref="G82:G86"/>
    <mergeCell ref="F112:F117"/>
    <mergeCell ref="G100:G105"/>
    <mergeCell ref="X159:X163"/>
    <mergeCell ref="X154:X158"/>
    <mergeCell ref="F164:F168"/>
    <mergeCell ref="G164:G168"/>
    <mergeCell ref="E164:E168"/>
    <mergeCell ref="A180:A184"/>
    <mergeCell ref="A159:A163"/>
    <mergeCell ref="A154:A158"/>
    <mergeCell ref="C159:C163"/>
    <mergeCell ref="G159:G163"/>
    <mergeCell ref="A149:A153"/>
    <mergeCell ref="A164:A168"/>
    <mergeCell ref="D180:D184"/>
    <mergeCell ref="C175:C179"/>
    <mergeCell ref="C144:C148"/>
    <mergeCell ref="F180:F184"/>
    <mergeCell ref="D159:D163"/>
    <mergeCell ref="C154:C158"/>
    <mergeCell ref="A170:A174"/>
    <mergeCell ref="B164:B168"/>
    <mergeCell ref="G175:G179"/>
    <mergeCell ref="C180:C184"/>
    <mergeCell ref="D170:D174"/>
    <mergeCell ref="E175:E179"/>
    <mergeCell ref="B180:B184"/>
    <mergeCell ref="X164:X168"/>
    <mergeCell ref="X144:X148"/>
    <mergeCell ref="D144:D148"/>
    <mergeCell ref="X180:X184"/>
    <mergeCell ref="B144:B148"/>
    <mergeCell ref="C149:C153"/>
    <mergeCell ref="D149:D153"/>
    <mergeCell ref="A292:A296"/>
    <mergeCell ref="A322:A326"/>
    <mergeCell ref="A352:A356"/>
    <mergeCell ref="F357:F361"/>
    <mergeCell ref="B352:B356"/>
    <mergeCell ref="E352:E356"/>
    <mergeCell ref="F327:F331"/>
    <mergeCell ref="G332:G336"/>
    <mergeCell ref="G312:G316"/>
    <mergeCell ref="X307:X311"/>
    <mergeCell ref="X272:X276"/>
    <mergeCell ref="D327:D331"/>
    <mergeCell ref="X282:X286"/>
    <mergeCell ref="B322:B326"/>
    <mergeCell ref="C302:C306"/>
    <mergeCell ref="C307:C311"/>
    <mergeCell ref="X342:X346"/>
    <mergeCell ref="C287:C291"/>
    <mergeCell ref="C347:C351"/>
    <mergeCell ref="A332:A336"/>
    <mergeCell ref="F292:F296"/>
    <mergeCell ref="C297:C301"/>
    <mergeCell ref="X277:X281"/>
    <mergeCell ref="E277:E281"/>
    <mergeCell ref="D307:D311"/>
    <mergeCell ref="A307:A311"/>
    <mergeCell ref="B277:B281"/>
    <mergeCell ref="B302:B306"/>
    <mergeCell ref="G287:G291"/>
    <mergeCell ref="F302:F306"/>
    <mergeCell ref="F307:F311"/>
    <mergeCell ref="B307:B311"/>
    <mergeCell ref="A53:A58"/>
    <mergeCell ref="B53:B58"/>
    <mergeCell ref="G272:G276"/>
    <mergeCell ref="A232:A236"/>
    <mergeCell ref="A242:A246"/>
    <mergeCell ref="B342:B346"/>
    <mergeCell ref="A392:A396"/>
    <mergeCell ref="B392:B396"/>
    <mergeCell ref="A342:A346"/>
    <mergeCell ref="A337:A341"/>
    <mergeCell ref="C367:C371"/>
    <mergeCell ref="F387:F391"/>
    <mergeCell ref="C392:C396"/>
    <mergeCell ref="G292:G296"/>
    <mergeCell ref="E232:E236"/>
    <mergeCell ref="B252:B256"/>
    <mergeCell ref="D272:D276"/>
    <mergeCell ref="F242:F246"/>
    <mergeCell ref="F262:F266"/>
    <mergeCell ref="F257:F261"/>
    <mergeCell ref="A382:A386"/>
    <mergeCell ref="G387:G391"/>
    <mergeCell ref="D392:D396"/>
    <mergeCell ref="E392:E396"/>
    <mergeCell ref="G317:G321"/>
    <mergeCell ref="G352:G356"/>
    <mergeCell ref="C292:C296"/>
    <mergeCell ref="D362:D366"/>
    <mergeCell ref="B362:B366"/>
    <mergeCell ref="D302:D306"/>
    <mergeCell ref="B287:B291"/>
    <mergeCell ref="D292:D296"/>
    <mergeCell ref="A387:A391"/>
    <mergeCell ref="A367:A371"/>
    <mergeCell ref="C382:C386"/>
    <mergeCell ref="A357:A361"/>
    <mergeCell ref="C738:C742"/>
    <mergeCell ref="E698:E702"/>
    <mergeCell ref="D698:D702"/>
    <mergeCell ref="F347:F351"/>
    <mergeCell ref="C372:C376"/>
    <mergeCell ref="F377:F381"/>
    <mergeCell ref="D708:D712"/>
    <mergeCell ref="D377:D381"/>
    <mergeCell ref="E377:E381"/>
    <mergeCell ref="B472:B476"/>
    <mergeCell ref="B437:B441"/>
    <mergeCell ref="C412:C416"/>
    <mergeCell ref="C477:C481"/>
    <mergeCell ref="F447:F451"/>
    <mergeCell ref="B427:B431"/>
    <mergeCell ref="D477:D481"/>
    <mergeCell ref="C407:C411"/>
    <mergeCell ref="A703:A707"/>
    <mergeCell ref="A688:A692"/>
    <mergeCell ref="D397:D401"/>
    <mergeCell ref="D407:D411"/>
    <mergeCell ref="E637:E641"/>
    <mergeCell ref="D402:D406"/>
    <mergeCell ref="B442:B446"/>
    <mergeCell ref="D422:D426"/>
    <mergeCell ref="F422:F426"/>
    <mergeCell ref="E417:E421"/>
    <mergeCell ref="A407:A411"/>
    <mergeCell ref="X622:X626"/>
    <mergeCell ref="D622:D626"/>
    <mergeCell ref="E627:E631"/>
    <mergeCell ref="X602:X606"/>
    <mergeCell ref="X587:X591"/>
    <mergeCell ref="D637:D641"/>
    <mergeCell ref="X647:X651"/>
    <mergeCell ref="X667:X671"/>
    <mergeCell ref="F657:F661"/>
    <mergeCell ref="X427:X431"/>
    <mergeCell ref="G437:G441"/>
    <mergeCell ref="X467:X471"/>
    <mergeCell ref="C422:C426"/>
    <mergeCell ref="C432:C436"/>
    <mergeCell ref="G627:G631"/>
    <mergeCell ref="G607:G611"/>
    <mergeCell ref="C522:C526"/>
    <mergeCell ref="X617:X621"/>
    <mergeCell ref="X547:X551"/>
    <mergeCell ref="X557:X561"/>
    <mergeCell ref="X612:X616"/>
    <mergeCell ref="D497:D501"/>
    <mergeCell ref="F427:F431"/>
    <mergeCell ref="X607:X611"/>
    <mergeCell ref="C562:C566"/>
    <mergeCell ref="X567:X571"/>
    <mergeCell ref="F517:F521"/>
    <mergeCell ref="C472:C476"/>
    <mergeCell ref="D462:D466"/>
    <mergeCell ref="G597:G601"/>
    <mergeCell ref="E537:E541"/>
    <mergeCell ref="G587:G591"/>
    <mergeCell ref="G733:G737"/>
    <mergeCell ref="D688:D692"/>
    <mergeCell ref="X693:X697"/>
    <mergeCell ref="X657:X661"/>
    <mergeCell ref="X723:X727"/>
    <mergeCell ref="E723:E727"/>
    <mergeCell ref="X713:X717"/>
    <mergeCell ref="C667:C671"/>
    <mergeCell ref="X677:X681"/>
    <mergeCell ref="C657:C661"/>
    <mergeCell ref="D677:D681"/>
    <mergeCell ref="D657:D661"/>
    <mergeCell ref="G667:G671"/>
    <mergeCell ref="D703:D707"/>
    <mergeCell ref="C627:C631"/>
    <mergeCell ref="F698:F702"/>
    <mergeCell ref="A667:A671"/>
    <mergeCell ref="G728:G732"/>
    <mergeCell ref="X728:X732"/>
    <mergeCell ref="F728:F732"/>
    <mergeCell ref="G652:G656"/>
    <mergeCell ref="X632:X636"/>
    <mergeCell ref="X627:X631"/>
    <mergeCell ref="B703:B707"/>
    <mergeCell ref="E647:E651"/>
    <mergeCell ref="F647:F651"/>
    <mergeCell ref="D627:D631"/>
    <mergeCell ref="D632:D636"/>
    <mergeCell ref="B677:B681"/>
    <mergeCell ref="E688:E692"/>
    <mergeCell ref="E703:E707"/>
    <mergeCell ref="G693:G697"/>
    <mergeCell ref="A768:A772"/>
    <mergeCell ref="X783:X787"/>
    <mergeCell ref="G753:G757"/>
    <mergeCell ref="D758:D762"/>
    <mergeCell ref="C768:C772"/>
    <mergeCell ref="C567:C571"/>
    <mergeCell ref="X672:X676"/>
    <mergeCell ref="A642:A646"/>
    <mergeCell ref="E652:E656"/>
    <mergeCell ref="F637:F641"/>
    <mergeCell ref="X778:X782"/>
    <mergeCell ref="E773:E777"/>
    <mergeCell ref="F642:F646"/>
    <mergeCell ref="X592:X596"/>
    <mergeCell ref="B602:B606"/>
    <mergeCell ref="B597:B601"/>
    <mergeCell ref="F602:F606"/>
    <mergeCell ref="X773:X777"/>
    <mergeCell ref="B632:B636"/>
    <mergeCell ref="X708:X712"/>
    <mergeCell ref="E587:E591"/>
    <mergeCell ref="H652:H656"/>
    <mergeCell ref="C652:C656"/>
    <mergeCell ref="D652:D656"/>
    <mergeCell ref="X652:X656"/>
    <mergeCell ref="D602:D606"/>
    <mergeCell ref="F703:F707"/>
    <mergeCell ref="X763:X767"/>
    <mergeCell ref="X748:X752"/>
    <mergeCell ref="X753:X757"/>
    <mergeCell ref="X743:X747"/>
    <mergeCell ref="C718:C722"/>
    <mergeCell ref="I793:L793"/>
    <mergeCell ref="E708:E712"/>
    <mergeCell ref="F708:F712"/>
    <mergeCell ref="F662:F666"/>
    <mergeCell ref="G662:G666"/>
    <mergeCell ref="G657:G661"/>
    <mergeCell ref="C587:C591"/>
    <mergeCell ref="C617:C621"/>
    <mergeCell ref="D522:D526"/>
    <mergeCell ref="C677:C681"/>
    <mergeCell ref="C688:C692"/>
    <mergeCell ref="E677:E681"/>
    <mergeCell ref="F682:F687"/>
    <mergeCell ref="D682:D687"/>
    <mergeCell ref="C713:C717"/>
    <mergeCell ref="G708:G712"/>
    <mergeCell ref="E672:E676"/>
    <mergeCell ref="F672:F676"/>
    <mergeCell ref="D582:D586"/>
    <mergeCell ref="E582:E586"/>
    <mergeCell ref="D773:D777"/>
    <mergeCell ref="C753:C757"/>
    <mergeCell ref="F768:F772"/>
    <mergeCell ref="G768:G772"/>
    <mergeCell ref="G763:G767"/>
    <mergeCell ref="D763:D767"/>
    <mergeCell ref="F753:F757"/>
    <mergeCell ref="D642:D646"/>
    <mergeCell ref="C552:C556"/>
    <mergeCell ref="E657:E661"/>
    <mergeCell ref="D597:D601"/>
    <mergeCell ref="D783:D787"/>
    <mergeCell ref="I795:L795"/>
    <mergeCell ref="A467:A471"/>
    <mergeCell ref="B467:B471"/>
    <mergeCell ref="C467:C471"/>
    <mergeCell ref="G467:G471"/>
    <mergeCell ref="A632:A636"/>
    <mergeCell ref="A783:A787"/>
    <mergeCell ref="A657:A661"/>
    <mergeCell ref="E617:E621"/>
    <mergeCell ref="A607:A611"/>
    <mergeCell ref="A617:A621"/>
    <mergeCell ref="B562:B566"/>
    <mergeCell ref="B532:B536"/>
    <mergeCell ref="A527:A531"/>
    <mergeCell ref="A522:A526"/>
    <mergeCell ref="A532:A536"/>
    <mergeCell ref="F512:F516"/>
    <mergeCell ref="D738:D742"/>
    <mergeCell ref="G512:G516"/>
    <mergeCell ref="E512:E516"/>
    <mergeCell ref="B587:B591"/>
    <mergeCell ref="F522:F526"/>
    <mergeCell ref="G522:G526"/>
    <mergeCell ref="G542:G546"/>
    <mergeCell ref="D577:D581"/>
    <mergeCell ref="D587:D591"/>
    <mergeCell ref="I794:L794"/>
    <mergeCell ref="B657:B661"/>
    <mergeCell ref="D512:D516"/>
    <mergeCell ref="B512:B516"/>
    <mergeCell ref="B507:B511"/>
    <mergeCell ref="B517:B521"/>
    <mergeCell ref="A17032:A17036"/>
    <mergeCell ref="B17032:B17036"/>
    <mergeCell ref="C17032:C17036"/>
    <mergeCell ref="D17032:D17036"/>
    <mergeCell ref="E17032:E17036"/>
    <mergeCell ref="F17032:F17036"/>
    <mergeCell ref="C662:C666"/>
    <mergeCell ref="F677:F681"/>
    <mergeCell ref="A597:A601"/>
    <mergeCell ref="A507:A511"/>
    <mergeCell ref="B622:B626"/>
    <mergeCell ref="A778:A782"/>
    <mergeCell ref="B502:B506"/>
    <mergeCell ref="B567:B571"/>
    <mergeCell ref="C672:C676"/>
    <mergeCell ref="E572:E576"/>
    <mergeCell ref="C517:C521"/>
    <mergeCell ref="A698:A702"/>
    <mergeCell ref="E667:E671"/>
    <mergeCell ref="F667:F671"/>
    <mergeCell ref="D672:D676"/>
    <mergeCell ref="E502:E506"/>
    <mergeCell ref="F547:F551"/>
    <mergeCell ref="F572:F576"/>
    <mergeCell ref="E562:E566"/>
    <mergeCell ref="B627:B631"/>
    <mergeCell ref="C582:C586"/>
    <mergeCell ref="A652:A656"/>
    <mergeCell ref="F688:F692"/>
    <mergeCell ref="C512:C516"/>
    <mergeCell ref="B783:B787"/>
    <mergeCell ref="C783:C787"/>
    <mergeCell ref="A422:A426"/>
    <mergeCell ref="A442:A446"/>
    <mergeCell ref="X407:X411"/>
    <mergeCell ref="B412:B416"/>
    <mergeCell ref="B417:B421"/>
    <mergeCell ref="C417:C421"/>
    <mergeCell ref="C447:C451"/>
    <mergeCell ref="B402:B406"/>
    <mergeCell ref="G412:G416"/>
    <mergeCell ref="A412:A416"/>
    <mergeCell ref="E412:E416"/>
    <mergeCell ref="B422:B426"/>
    <mergeCell ref="D417:D421"/>
    <mergeCell ref="X432:X436"/>
    <mergeCell ref="G422:G426"/>
    <mergeCell ref="G417:G421"/>
    <mergeCell ref="X417:X421"/>
    <mergeCell ref="F417:F421"/>
    <mergeCell ref="E432:E436"/>
    <mergeCell ref="F432:F436"/>
    <mergeCell ref="G432:G436"/>
    <mergeCell ref="A397:A401"/>
    <mergeCell ref="G17032:G17036"/>
    <mergeCell ref="X17032:X17036"/>
    <mergeCell ref="G462:G466"/>
    <mergeCell ref="C462:C466"/>
    <mergeCell ref="G452:G456"/>
    <mergeCell ref="G532:G536"/>
    <mergeCell ref="A402:A406"/>
    <mergeCell ref="A517:A521"/>
    <mergeCell ref="A537:A541"/>
    <mergeCell ref="A472:A476"/>
    <mergeCell ref="E497:E501"/>
    <mergeCell ref="E422:E426"/>
    <mergeCell ref="A417:A421"/>
    <mergeCell ref="G527:G531"/>
    <mergeCell ref="B497:B501"/>
    <mergeCell ref="A512:A516"/>
    <mergeCell ref="A437:A441"/>
    <mergeCell ref="X552:X556"/>
    <mergeCell ref="A627:A631"/>
    <mergeCell ref="E597:E601"/>
    <mergeCell ref="A637:A641"/>
    <mergeCell ref="F592:F596"/>
    <mergeCell ref="A577:A581"/>
    <mergeCell ref="B527:B531"/>
    <mergeCell ref="D532:D536"/>
    <mergeCell ref="D542:D546"/>
    <mergeCell ref="A502:A506"/>
    <mergeCell ref="X462:X466"/>
    <mergeCell ref="X457:X461"/>
    <mergeCell ref="X507:X511"/>
    <mergeCell ref="X472:X476"/>
  </mergeCells>
  <phoneticPr fontId="21" type="noConversion"/>
  <pageMargins left="0.25" right="0.25" top="0.75" bottom="0.75" header="0.3" footer="0.3"/>
  <pageSetup paperSize="9" scale="59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421">
        <v>65</v>
      </c>
    </row>
    <row r="52" spans="5:5">
      <c r="E52" s="422"/>
    </row>
    <row r="53" spans="5:5">
      <c r="E53" s="422"/>
    </row>
    <row r="54" spans="5:5">
      <c r="E54" s="422"/>
    </row>
    <row r="55" spans="5:5">
      <c r="E55" s="423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Ewa Rosiak</cp:lastModifiedBy>
  <cp:revision>0</cp:revision>
  <cp:lastPrinted>2025-04-14T12:13:34Z</cp:lastPrinted>
  <dcterms:created xsi:type="dcterms:W3CDTF">2006-09-22T13:37:51Z</dcterms:created>
  <dcterms:modified xsi:type="dcterms:W3CDTF">2025-04-14T12:22:25Z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