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Inwestycje 2025\sesja 29.05.2025\"/>
    </mc:Choice>
  </mc:AlternateContent>
  <xr:revisionPtr revIDLastSave="0" documentId="13_ncr:1_{6AB78475-09CF-4CC3-9DFC-A01E3191A530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59" i="1" l="1"/>
  <c r="Q59" i="1"/>
  <c r="R59" i="1"/>
  <c r="S59" i="1"/>
  <c r="T59" i="1"/>
  <c r="U59" i="1"/>
  <c r="V59" i="1"/>
  <c r="W59" i="1"/>
  <c r="O37" i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W17035" i="1"/>
  <c r="V17035" i="1"/>
  <c r="U17035" i="1"/>
  <c r="T17035" i="1"/>
  <c r="S17035" i="1"/>
  <c r="R17035" i="1"/>
  <c r="Q17035" i="1"/>
  <c r="P17035" i="1"/>
  <c r="O17035" i="1"/>
  <c r="N17035" i="1"/>
  <c r="M17035" i="1"/>
  <c r="L17035" i="1"/>
  <c r="O301" i="1"/>
  <c r="O198" i="1"/>
  <c r="O197" i="1"/>
  <c r="O180" i="1"/>
  <c r="O179" i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X17031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X571" i="1"/>
  <c r="X566" i="1"/>
  <c r="F646" i="1"/>
  <c r="X561" i="1"/>
  <c r="X606" i="1"/>
  <c r="F606" i="1" s="1"/>
  <c r="P620" i="1"/>
  <c r="O620" i="1"/>
  <c r="N620" i="1"/>
  <c r="M620" i="1"/>
  <c r="L620" i="1"/>
  <c r="X616" i="1" l="1"/>
  <c r="F616" i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X138" i="1" l="1"/>
  <c r="F138" i="1" s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X737" i="1" l="1"/>
  <c r="F737" i="1" s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X787" i="1" s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X621" i="1" s="1"/>
  <c r="P615" i="1"/>
  <c r="O615" i="1"/>
  <c r="N615" i="1"/>
  <c r="M615" i="1"/>
  <c r="L615" i="1"/>
  <c r="F23" i="1" l="1"/>
  <c r="X702" i="1"/>
  <c r="X687" i="1"/>
  <c r="F687" i="1" s="1"/>
  <c r="X697" i="1"/>
  <c r="X631" i="1"/>
  <c r="F631" i="1" s="1"/>
  <c r="F651" i="1"/>
  <c r="F621" i="1"/>
  <c r="X717" i="1"/>
  <c r="X671" i="1"/>
  <c r="F697" i="1"/>
  <c r="F702" i="1"/>
  <c r="F787" i="1"/>
  <c r="X722" i="1"/>
  <c r="F722" i="1" s="1"/>
  <c r="X611" i="1"/>
  <c r="P560" i="1" l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R168" i="1" s="1"/>
  <c r="Q188" i="1"/>
  <c r="Q168" i="1" l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X431" i="1"/>
  <c r="F431" i="1" s="1"/>
  <c r="F576" i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X581" i="1" s="1"/>
  <c r="F581" i="1" s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158" i="1" l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X30" i="1" s="1"/>
  <c r="X22" i="1" s="1"/>
  <c r="K37" i="1"/>
  <c r="J37" i="1"/>
  <c r="L22" i="1" l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X591" i="1" s="1"/>
  <c r="K595" i="1"/>
  <c r="J595" i="1"/>
  <c r="J782" i="1"/>
  <c r="J104" i="1"/>
  <c r="J110" i="1"/>
  <c r="X331" i="1" l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411" i="1"/>
  <c r="F341" i="1"/>
  <c r="F316" i="1"/>
  <c r="F291" i="1"/>
  <c r="F406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F416" i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F591" i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X87" i="1" s="1"/>
  <c r="F87" i="1" s="1"/>
  <c r="K93" i="1"/>
  <c r="J88" i="1"/>
  <c r="J61" i="1"/>
  <c r="J65" i="1" s="1"/>
  <c r="J93" i="1" l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X21" i="1" l="1"/>
  <c r="F60" i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767" i="1" l="1"/>
  <c r="F767" i="1" s="1"/>
  <c r="X661" i="1"/>
  <c r="X752" i="1"/>
  <c r="X184" i="1"/>
  <c r="F184" i="1" s="1"/>
  <c r="X656" i="1"/>
  <c r="F656" i="1" s="1"/>
  <c r="X246" i="1"/>
  <c r="F246" i="1" s="1"/>
  <c r="X189" i="1"/>
  <c r="F189" i="1" s="1"/>
  <c r="X256" i="1"/>
  <c r="F256" i="1" s="1"/>
  <c r="F752" i="1"/>
  <c r="X747" i="1"/>
  <c r="F661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O59" i="1" s="1"/>
  <c r="P98" i="1"/>
  <c r="P59" i="1" s="1"/>
  <c r="K104" i="1"/>
  <c r="L104" i="1"/>
  <c r="M104" i="1"/>
  <c r="N104" i="1"/>
  <c r="O104" i="1"/>
  <c r="P104" i="1"/>
  <c r="K110" i="1"/>
  <c r="L110" i="1"/>
  <c r="M110" i="1"/>
  <c r="N110" i="1"/>
  <c r="O110" i="1"/>
  <c r="P110" i="1"/>
  <c r="X94" i="1" l="1"/>
  <c r="F94" i="1" s="1"/>
  <c r="F59" i="1" s="1"/>
  <c r="F21" i="1" s="1"/>
  <c r="N59" i="1"/>
  <c r="N21" i="1" s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X276" i="1" l="1"/>
  <c r="F276" i="1" s="1"/>
  <c r="X286" i="1"/>
  <c r="X271" i="1"/>
  <c r="X266" i="1"/>
  <c r="X261" i="1"/>
  <c r="P168" i="1"/>
  <c r="F271" i="1"/>
  <c r="F266" i="1"/>
  <c r="F286" i="1"/>
  <c r="J9" i="1"/>
  <c r="K21" i="1"/>
  <c r="J17" i="1"/>
  <c r="P590" i="1"/>
  <c r="O590" i="1"/>
  <c r="N590" i="1"/>
  <c r="M590" i="1"/>
  <c r="L590" i="1"/>
  <c r="X586" i="1" s="1"/>
  <c r="K590" i="1"/>
  <c r="J590" i="1"/>
  <c r="P370" i="1"/>
  <c r="O370" i="1"/>
  <c r="N370" i="1"/>
  <c r="M370" i="1"/>
  <c r="L370" i="1"/>
  <c r="K370" i="1"/>
  <c r="J370" i="1"/>
  <c r="P365" i="1"/>
  <c r="O365" i="1"/>
  <c r="O168" i="1" s="1"/>
  <c r="N365" i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N168" i="1" l="1"/>
  <c r="N20" i="1" s="1"/>
  <c r="X361" i="1"/>
  <c r="X168" i="1" s="1"/>
  <c r="F306" i="1"/>
  <c r="O20" i="1"/>
  <c r="P20" i="1"/>
  <c r="F261" i="1"/>
  <c r="F586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N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<sst xmlns="http://schemas.openxmlformats.org/spreadsheetml/2006/main" count="1175" uniqueCount="264">
  <si>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</si>
  <si>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</si>
  <si>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</si>
  <si>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</si>
  <si>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</si>
  <si>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</si>
  <si>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</si>
  <si>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</si>
  <si>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</si>
  <si>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</si>
  <si>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</si>
  <si>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</si>
  <si>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</si>
  <si>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</si>
  <si>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</si>
  <si>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</si>
  <si>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</si>
  <si>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</si>
  <si>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</si>
  <si>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</si>
  <si>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</si>
  <si>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</si>
  <si>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</si>
  <si>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</si>
  <si>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</si>
  <si>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</si>
  <si>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</si>
  <si>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</si>
  <si>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</si>
  <si>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</si>
  <si>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</si>
  <si>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</si>
  <si>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</si>
  <si>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</si>
  <si>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</si>
  <si>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</si>
  <si>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</si>
  <si>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</si>
  <si>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</si>
  <si>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</si>
  <si>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</si>
  <si>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</si>
  <si>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</si>
  <si>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</si>
  <si>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</si>
  <si>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</si>
  <si>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</si>
  <si>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</si>
  <si>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</si>
  <si>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</si>
  <si>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</si>
  <si>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</si>
  <si>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</si>
  <si>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</si>
  <si>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</si>
  <si>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</si>
  <si>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</si>
  <si>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</si>
  <si>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</si>
  <si>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</si>
  <si>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</si>
  <si>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</si>
  <si>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</si>
  <si>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</si>
  <si>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</si>
  <si>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</si>
  <si>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</si>
  <si>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</si>
  <si>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</si>
  <si>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</si>
  <si>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</si>
  <si>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</si>
  <si>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</si>
  <si>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</si>
  <si>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</si>
  <si>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</si>
  <si>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</si>
  <si>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 xml:space="preserve">Boisko do piłki nożnej na terenie sportowo-rekreacyjnym w Kwakowie - budowa, rozbudowa i modernizacja infrastruktury sportowo - rekreacyjno - edukacyjnej w miejscowości Kwakowo 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</si>
  <si>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</si>
  <si>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</si>
  <si>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</si>
  <si>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</si>
  <si>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</si>
  <si>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</si>
  <si>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</si>
  <si>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</si>
  <si>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</si>
  <si>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</si>
  <si>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</si>
  <si>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</si>
  <si>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</si>
  <si>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</si>
  <si>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</si>
  <si>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</si>
  <si>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</si>
  <si>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</si>
  <si>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</si>
  <si>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</si>
  <si>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</si>
  <si>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</si>
  <si>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</si>
  <si>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</si>
  <si>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</si>
  <si>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</si>
  <si>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</si>
  <si>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</si>
  <si>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</si>
  <si>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</si>
  <si>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</si>
  <si>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</si>
  <si>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</si>
  <si>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</si>
  <si>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</si>
  <si>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</si>
  <si>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</si>
  <si>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</si>
  <si>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</si>
  <si>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</si>
  <si>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</si>
  <si>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</si>
  <si>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</si>
  <si>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</si>
  <si>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</si>
  <si>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</si>
  <si>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</si>
  <si>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przestrzeni publicznej w Runowie Sławińskim, Reblinie, Zębowie, poprzez zagospodarowanie terenów wokół zbiorników wodnych wraz z ich renaturyzacją
</t>
    </r>
    <r>
      <rPr>
        <sz val="7"/>
        <color rgb="FFFF0000"/>
        <rFont val="Arial"/>
        <family val="2"/>
        <charset val="238"/>
      </rPr>
      <t xml:space="preserve">Zadanie w części dofinansowane ze środków Europejskiego Funduszu Rozwoju Regionalnego w ramach Regionalnego Programu Operacyjnego Województwa Pomorskiego na lata 2014 – 2020 w ramach projektu "Utrzymanie naturalnych ekosystemów retencjonujących wodę w Gminie Kobylnica", w tym ze środków Funduszu Sołeckiego Sołectwa Runowo Sławieńskie w wys. 12737 zł. 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</si>
  <si>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</si>
  <si>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</si>
  <si>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</si>
  <si>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</si>
  <si>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</si>
  <si>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</si>
  <si>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</si>
  <si>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</si>
  <si>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</si>
  <si>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</si>
  <si>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</si>
  <si>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</si>
  <si>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</si>
  <si>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</si>
  <si>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</si>
  <si>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</si>
  <si>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</si>
  <si>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</si>
  <si>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</si>
  <si>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</si>
  <si>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</si>
  <si>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</si>
  <si>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</si>
  <si>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</si>
  <si>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</si>
  <si>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</si>
  <si>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</si>
  <si>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</si>
  <si>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</si>
  <si>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</si>
  <si>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</si>
  <si>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</si>
  <si>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</si>
  <si>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</si>
  <si>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</si>
  <si>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</si>
  <si>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</si>
  <si>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</si>
  <si>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</si>
  <si>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</si>
  <si>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</si>
  <si>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ciągu dróg gminnych ulic: Rataja i Irysowej w Kobylnicy oraz Turkusowej w Bolesławicach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</si>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</sst>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83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6" fontId="34" fillId="22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4" fillId="13" borderId="20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6" fontId="34" fillId="18" borderId="14" xfId="0" applyNumberFormat="1" applyFont="1" applyFill="1" applyBorder="1" applyAlignment="1">
      <alignment horizontal="right" vertical="center" wrapText="1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4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8" fontId="4" fillId="30" borderId="13" xfId="0" applyNumberFormat="1" applyFont="1" applyFill="1" applyBorder="1" applyAlignment="1">
      <alignment horizontal="right" vertical="center" wrapText="1"/>
    </xf>
    <xf numFmtId="168" fontId="14" fillId="30" borderId="13" xfId="0" applyNumberFormat="1" applyFont="1" applyFill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0" fontId="24" fillId="13" borderId="13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8" fontId="1" fillId="29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6" fillId="29" borderId="13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topLeftCell="A188" zoomScale="110" zoomScaleNormal="118" zoomScaleSheetLayoutView="118" zoomScalePageLayoutView="110" workbookViewId="0">
      <selection activeCell="Q198" sqref="Q198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6" t="s">
        <v>0</v>
      </c>
      <c r="B1" s="526" t="s">
        <v>1</v>
      </c>
      <c r="C1" s="527" t="s">
        <v>2</v>
      </c>
      <c r="D1" s="527"/>
      <c r="E1" s="528" t="s">
        <v>3</v>
      </c>
      <c r="F1" s="529" t="s">
        <v>67</v>
      </c>
      <c r="G1" s="527" t="s">
        <v>4</v>
      </c>
      <c r="H1" s="530"/>
      <c r="I1" s="534" t="s">
        <v>229</v>
      </c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3" t="s">
        <v>165</v>
      </c>
    </row>
    <row r="2" spans="1:25" ht="3.75" customHeight="1">
      <c r="A2" s="526"/>
      <c r="B2" s="526"/>
      <c r="C2" s="527"/>
      <c r="D2" s="527"/>
      <c r="E2" s="528"/>
      <c r="F2" s="529"/>
      <c r="G2" s="527"/>
      <c r="H2" s="530"/>
      <c r="I2" s="534"/>
      <c r="J2" s="534"/>
      <c r="K2" s="534"/>
      <c r="L2" s="534"/>
      <c r="M2" s="534"/>
      <c r="N2" s="534"/>
      <c r="O2" s="534"/>
      <c r="P2" s="534"/>
      <c r="Q2" s="534"/>
      <c r="R2" s="534"/>
      <c r="S2" s="534"/>
      <c r="T2" s="534"/>
      <c r="U2" s="534"/>
      <c r="V2" s="534"/>
      <c r="W2" s="534"/>
      <c r="X2" s="533"/>
    </row>
    <row r="3" spans="1:25" ht="19.5" customHeight="1">
      <c r="A3" s="526"/>
      <c r="B3" s="526"/>
      <c r="C3" s="73" t="s">
        <v>5</v>
      </c>
      <c r="D3" s="73" t="s">
        <v>6</v>
      </c>
      <c r="E3" s="528"/>
      <c r="F3" s="529"/>
      <c r="G3" s="73" t="s">
        <v>7</v>
      </c>
      <c r="H3" s="305" t="s">
        <v>8</v>
      </c>
      <c r="I3" s="307" t="s">
        <v>69</v>
      </c>
      <c r="J3" s="308">
        <v>2019</v>
      </c>
      <c r="K3" s="308">
        <v>2020</v>
      </c>
      <c r="L3" s="308">
        <v>2022</v>
      </c>
      <c r="M3" s="308">
        <v>2024</v>
      </c>
      <c r="N3" s="308">
        <v>2025</v>
      </c>
      <c r="O3" s="308">
        <v>2026</v>
      </c>
      <c r="P3" s="308">
        <v>2027</v>
      </c>
      <c r="Q3" s="308">
        <v>2028</v>
      </c>
      <c r="R3" s="308">
        <v>2029</v>
      </c>
      <c r="S3" s="308">
        <v>2030</v>
      </c>
      <c r="T3" s="308">
        <v>2031</v>
      </c>
      <c r="U3" s="308">
        <v>2032</v>
      </c>
      <c r="V3" s="309">
        <v>2033</v>
      </c>
      <c r="W3" s="309">
        <v>2034</v>
      </c>
      <c r="X3" s="533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6">
        <v>9</v>
      </c>
      <c r="J4" s="306">
        <v>9</v>
      </c>
      <c r="K4" s="306">
        <v>10</v>
      </c>
      <c r="L4" s="306">
        <v>11</v>
      </c>
      <c r="M4" s="306">
        <v>10</v>
      </c>
      <c r="N4" s="306">
        <v>11</v>
      </c>
      <c r="O4" s="306">
        <v>12</v>
      </c>
      <c r="P4" s="306">
        <v>13</v>
      </c>
      <c r="Q4" s="306">
        <v>14</v>
      </c>
      <c r="R4" s="306">
        <v>15</v>
      </c>
      <c r="S4" s="306">
        <v>16</v>
      </c>
      <c r="T4" s="306">
        <v>17</v>
      </c>
      <c r="U4" s="306">
        <v>18</v>
      </c>
      <c r="V4" s="306">
        <v>19</v>
      </c>
      <c r="W4" s="306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87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88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84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2840074</v>
      </c>
      <c r="O10" s="25">
        <f t="shared" si="2"/>
        <v>4132597</v>
      </c>
      <c r="P10" s="25">
        <f>P183+P188+P245+P260+P265+P280+P300+P310++Q320+P370+P410</f>
        <v>1945000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89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85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1187000</v>
      </c>
      <c r="O12" s="24">
        <f t="shared" si="4"/>
        <v>2605000</v>
      </c>
      <c r="P12" s="24">
        <f t="shared" si="4"/>
        <v>2390000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90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2129412</v>
      </c>
      <c r="O14" s="8">
        <f t="shared" si="6"/>
        <v>500000</v>
      </c>
      <c r="P14" s="8">
        <f t="shared" si="6"/>
        <v>3970000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91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83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86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5" t="s">
        <v>18</v>
      </c>
      <c r="C18" s="535"/>
      <c r="D18" s="535"/>
      <c r="E18" s="535"/>
      <c r="F18" s="283">
        <f>F19+F20</f>
        <v>168961806.72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4">
        <f t="shared" si="8"/>
        <v>0</v>
      </c>
      <c r="N18" s="347">
        <f t="shared" si="8"/>
        <v>34038680.359999999</v>
      </c>
      <c r="O18" s="79">
        <f t="shared" si="8"/>
        <v>12596868</v>
      </c>
      <c r="P18" s="79">
        <f t="shared" si="8"/>
        <v>14569832</v>
      </c>
      <c r="Q18" s="13">
        <f t="shared" si="8"/>
        <v>12334460</v>
      </c>
      <c r="R18" s="13">
        <f t="shared" si="8"/>
        <v>12689998</v>
      </c>
      <c r="S18" s="13">
        <f t="shared" si="8"/>
        <v>9774186</v>
      </c>
      <c r="T18" s="13">
        <f t="shared" si="8"/>
        <v>8189638</v>
      </c>
      <c r="U18" s="13">
        <f t="shared" si="8"/>
        <v>6035089</v>
      </c>
      <c r="V18" s="13">
        <f t="shared" si="8"/>
        <v>3940541</v>
      </c>
      <c r="W18" s="13">
        <f t="shared" si="8"/>
        <v>224789</v>
      </c>
      <c r="X18" s="75">
        <f t="shared" si="8"/>
        <v>114394081.36</v>
      </c>
    </row>
    <row r="19" spans="1:198" ht="13.5" customHeight="1">
      <c r="A19" s="10" t="s">
        <v>19</v>
      </c>
      <c r="B19" s="536" t="s">
        <v>20</v>
      </c>
      <c r="C19" s="536"/>
      <c r="D19" s="536"/>
      <c r="E19" s="536"/>
      <c r="F19" s="287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3">
        <f t="shared" si="9"/>
        <v>0</v>
      </c>
      <c r="N19" s="345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36" t="s">
        <v>22</v>
      </c>
      <c r="C20" s="536"/>
      <c r="D20" s="536"/>
      <c r="E20" s="536"/>
      <c r="F20" s="284">
        <f>F59+F129+F168</f>
        <v>162953915.72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3">
        <f t="shared" si="10"/>
        <v>0</v>
      </c>
      <c r="N20" s="346">
        <f t="shared" si="10"/>
        <v>33170323</v>
      </c>
      <c r="O20" s="43">
        <f t="shared" si="10"/>
        <v>11834329</v>
      </c>
      <c r="P20" s="43">
        <f t="shared" si="10"/>
        <v>13901602</v>
      </c>
      <c r="Q20" s="43">
        <f t="shared" si="10"/>
        <v>11745778</v>
      </c>
      <c r="R20" s="43">
        <f t="shared" si="10"/>
        <v>12251600</v>
      </c>
      <c r="S20" s="43">
        <f t="shared" si="10"/>
        <v>9415337</v>
      </c>
      <c r="T20" s="43">
        <f t="shared" si="10"/>
        <v>7910337</v>
      </c>
      <c r="U20" s="43">
        <f t="shared" si="10"/>
        <v>5835337</v>
      </c>
      <c r="V20" s="43">
        <f t="shared" si="10"/>
        <v>3820337</v>
      </c>
      <c r="W20" s="43">
        <f t="shared" si="10"/>
        <v>218362</v>
      </c>
      <c r="X20" s="83">
        <f>X59+X129+X168</f>
        <v>110103342</v>
      </c>
    </row>
    <row r="21" spans="1:198" ht="39.75" customHeight="1">
      <c r="A21" s="11" t="s">
        <v>23</v>
      </c>
      <c r="B21" s="537" t="s">
        <v>24</v>
      </c>
      <c r="C21" s="537"/>
      <c r="D21" s="537"/>
      <c r="E21" s="537"/>
      <c r="F21" s="283">
        <f>F22+F59</f>
        <v>5551797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300">
        <f t="shared" si="11"/>
        <v>0</v>
      </c>
      <c r="N21" s="13">
        <f t="shared" si="11"/>
        <v>2031945</v>
      </c>
      <c r="O21" s="13">
        <f t="shared" si="11"/>
        <v>2070435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5490324</v>
      </c>
    </row>
    <row r="22" spans="1:198" ht="13.5" customHeight="1">
      <c r="A22" s="56" t="s">
        <v>25</v>
      </c>
      <c r="B22" s="522" t="s">
        <v>20</v>
      </c>
      <c r="C22" s="522"/>
      <c r="D22" s="522"/>
      <c r="E22" s="522"/>
      <c r="F22" s="285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2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2">
        <f>X23+X30</f>
        <v>323430</v>
      </c>
    </row>
    <row r="23" spans="1:198" ht="15.75" customHeight="1">
      <c r="A23" s="371">
        <v>1</v>
      </c>
      <c r="B23" s="487" t="s">
        <v>249</v>
      </c>
      <c r="C23" s="372">
        <v>2024</v>
      </c>
      <c r="D23" s="372">
        <v>2026</v>
      </c>
      <c r="E23" s="373" t="s">
        <v>259</v>
      </c>
      <c r="F23" s="525">
        <f>X23+15000</f>
        <v>80000</v>
      </c>
      <c r="G23" s="486" t="s">
        <v>251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84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71"/>
      <c r="B24" s="487"/>
      <c r="C24" s="372"/>
      <c r="D24" s="372"/>
      <c r="E24" s="373"/>
      <c r="F24" s="525"/>
      <c r="G24" s="486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84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71"/>
      <c r="B25" s="487"/>
      <c r="C25" s="372"/>
      <c r="D25" s="372"/>
      <c r="E25" s="373"/>
      <c r="F25" s="525"/>
      <c r="G25" s="486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84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71"/>
      <c r="B26" s="487"/>
      <c r="C26" s="372"/>
      <c r="D26" s="372"/>
      <c r="E26" s="373"/>
      <c r="F26" s="525"/>
      <c r="G26" s="486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84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71"/>
      <c r="B27" s="487"/>
      <c r="C27" s="372"/>
      <c r="D27" s="372"/>
      <c r="E27" s="373"/>
      <c r="F27" s="525"/>
      <c r="G27" s="486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84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71"/>
      <c r="B28" s="487"/>
      <c r="C28" s="372"/>
      <c r="D28" s="372"/>
      <c r="E28" s="373"/>
      <c r="F28" s="525"/>
      <c r="G28" s="486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84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71"/>
      <c r="B29" s="487"/>
      <c r="C29" s="372"/>
      <c r="D29" s="372"/>
      <c r="E29" s="373"/>
      <c r="F29" s="525"/>
      <c r="G29" s="486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9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84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71">
        <v>2</v>
      </c>
      <c r="B30" s="375" t="s">
        <v>263</v>
      </c>
      <c r="C30" s="417">
        <v>2025</v>
      </c>
      <c r="D30" s="417">
        <v>2028</v>
      </c>
      <c r="E30" s="523" t="s">
        <v>262</v>
      </c>
      <c r="F30" s="524">
        <f>X30</f>
        <v>258430</v>
      </c>
      <c r="G30" s="402">
        <v>85295</v>
      </c>
      <c r="H30" s="86"/>
      <c r="I30" s="61" t="s">
        <v>31</v>
      </c>
      <c r="J30" s="106">
        <v>53876</v>
      </c>
      <c r="K30" s="106"/>
      <c r="L30" s="106"/>
      <c r="M30" s="280"/>
      <c r="N30" s="352">
        <v>4865.79</v>
      </c>
      <c r="O30" s="352">
        <v>7445.79</v>
      </c>
      <c r="P30" s="352">
        <v>7445.79</v>
      </c>
      <c r="Q30" s="352">
        <v>7445.79</v>
      </c>
      <c r="R30" s="107"/>
      <c r="S30" s="107"/>
      <c r="T30" s="107"/>
      <c r="U30" s="107"/>
      <c r="V30" s="107"/>
      <c r="W30" s="107"/>
      <c r="X30" s="484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71"/>
      <c r="B31" s="379"/>
      <c r="C31" s="417"/>
      <c r="D31" s="417"/>
      <c r="E31" s="523"/>
      <c r="F31" s="524"/>
      <c r="G31" s="402"/>
      <c r="H31" s="86"/>
      <c r="I31" s="61" t="s">
        <v>30</v>
      </c>
      <c r="J31" s="106"/>
      <c r="K31" s="107"/>
      <c r="L31" s="107"/>
      <c r="M31" s="280"/>
      <c r="N31" s="352">
        <v>41359.21</v>
      </c>
      <c r="O31" s="352">
        <v>63289.21</v>
      </c>
      <c r="P31" s="352">
        <v>63289.21</v>
      </c>
      <c r="Q31" s="352">
        <v>63289.21</v>
      </c>
      <c r="R31" s="107"/>
      <c r="S31" s="107"/>
      <c r="T31" s="107"/>
      <c r="U31" s="107"/>
      <c r="V31" s="107"/>
      <c r="W31" s="107"/>
      <c r="X31" s="484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71"/>
      <c r="B32" s="379"/>
      <c r="C32" s="417"/>
      <c r="D32" s="417"/>
      <c r="E32" s="523"/>
      <c r="F32" s="524"/>
      <c r="G32" s="402"/>
      <c r="H32" s="86"/>
      <c r="I32" s="58"/>
      <c r="J32" s="107"/>
      <c r="K32" s="107"/>
      <c r="L32" s="107"/>
      <c r="M32" s="280"/>
      <c r="N32" s="351"/>
      <c r="O32" s="107"/>
      <c r="P32" s="107"/>
      <c r="Q32" s="107"/>
      <c r="R32" s="107"/>
      <c r="S32" s="107"/>
      <c r="T32" s="107"/>
      <c r="U32" s="107"/>
      <c r="V32" s="107"/>
      <c r="W32" s="107"/>
      <c r="X32" s="484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71"/>
      <c r="B33" s="379"/>
      <c r="C33" s="417"/>
      <c r="D33" s="417"/>
      <c r="E33" s="523"/>
      <c r="F33" s="524"/>
      <c r="G33" s="402"/>
      <c r="H33" s="86"/>
      <c r="I33" s="58"/>
      <c r="J33" s="107"/>
      <c r="K33" s="107"/>
      <c r="L33" s="107"/>
      <c r="M33" s="280"/>
      <c r="N33" s="351"/>
      <c r="O33" s="107"/>
      <c r="P33" s="107"/>
      <c r="Q33" s="107"/>
      <c r="R33" s="107"/>
      <c r="S33" s="107"/>
      <c r="T33" s="107"/>
      <c r="U33" s="107"/>
      <c r="V33" s="107"/>
      <c r="W33" s="107"/>
      <c r="X33" s="484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71"/>
      <c r="B34" s="379"/>
      <c r="C34" s="417"/>
      <c r="D34" s="417"/>
      <c r="E34" s="523"/>
      <c r="F34" s="524"/>
      <c r="G34" s="402"/>
      <c r="H34" s="86"/>
      <c r="I34" s="58"/>
      <c r="J34" s="107"/>
      <c r="K34" s="107"/>
      <c r="L34" s="107"/>
      <c r="M34" s="280"/>
      <c r="N34" s="351"/>
      <c r="O34" s="107"/>
      <c r="P34" s="107"/>
      <c r="Q34" s="107"/>
      <c r="R34" s="107"/>
      <c r="S34" s="107"/>
      <c r="T34" s="107"/>
      <c r="U34" s="107"/>
      <c r="V34" s="107"/>
      <c r="W34" s="107"/>
      <c r="X34" s="484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71"/>
      <c r="B35" s="379"/>
      <c r="C35" s="417"/>
      <c r="D35" s="417"/>
      <c r="E35" s="523"/>
      <c r="F35" s="524"/>
      <c r="G35" s="402"/>
      <c r="H35" s="86"/>
      <c r="I35" s="58"/>
      <c r="J35" s="107"/>
      <c r="K35" s="107"/>
      <c r="L35" s="107"/>
      <c r="M35" s="280"/>
      <c r="N35" s="351"/>
      <c r="O35" s="107"/>
      <c r="P35" s="107"/>
      <c r="Q35" s="107"/>
      <c r="R35" s="107"/>
      <c r="S35" s="107"/>
      <c r="T35" s="107"/>
      <c r="U35" s="107"/>
      <c r="V35" s="107"/>
      <c r="W35" s="107"/>
      <c r="X35" s="484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71"/>
      <c r="B36" s="379"/>
      <c r="C36" s="417"/>
      <c r="D36" s="417"/>
      <c r="E36" s="523"/>
      <c r="F36" s="524"/>
      <c r="G36" s="402"/>
      <c r="H36" s="86"/>
      <c r="I36" s="58"/>
      <c r="J36" s="107"/>
      <c r="K36" s="107"/>
      <c r="L36" s="107"/>
      <c r="M36" s="280"/>
      <c r="N36" s="351"/>
      <c r="O36" s="107"/>
      <c r="P36" s="107"/>
      <c r="Q36" s="107"/>
      <c r="R36" s="107"/>
      <c r="S36" s="107"/>
      <c r="T36" s="107"/>
      <c r="U36" s="107"/>
      <c r="V36" s="107"/>
      <c r="W36" s="107"/>
      <c r="X36" s="484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71"/>
      <c r="B37" s="379"/>
      <c r="C37" s="417"/>
      <c r="D37" s="417"/>
      <c r="E37" s="523"/>
      <c r="F37" s="524"/>
      <c r="G37" s="402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1">
        <f t="shared" si="15"/>
        <v>46225</v>
      </c>
      <c r="O37" s="261">
        <f t="shared" si="15"/>
        <v>70735</v>
      </c>
      <c r="P37" s="261">
        <f t="shared" si="15"/>
        <v>70735</v>
      </c>
      <c r="Q37" s="261">
        <f t="shared" si="15"/>
        <v>70735</v>
      </c>
      <c r="R37" s="261">
        <f t="shared" si="15"/>
        <v>0</v>
      </c>
      <c r="S37" s="261">
        <f t="shared" si="15"/>
        <v>0</v>
      </c>
      <c r="T37" s="261">
        <f t="shared" si="15"/>
        <v>0</v>
      </c>
      <c r="U37" s="261">
        <f t="shared" si="15"/>
        <v>0</v>
      </c>
      <c r="V37" s="261">
        <f t="shared" si="15"/>
        <v>0</v>
      </c>
      <c r="W37" s="261">
        <f t="shared" si="15"/>
        <v>0</v>
      </c>
      <c r="X37" s="484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32">
        <v>1</v>
      </c>
      <c r="B38" s="379" t="s">
        <v>201</v>
      </c>
      <c r="C38" s="417">
        <v>2021</v>
      </c>
      <c r="D38" s="417">
        <v>2023</v>
      </c>
      <c r="E38" s="523" t="s">
        <v>27</v>
      </c>
      <c r="F38" s="524"/>
      <c r="G38" s="402">
        <v>85395</v>
      </c>
      <c r="H38" s="90"/>
      <c r="I38" s="61" t="s">
        <v>28</v>
      </c>
      <c r="J38" s="250">
        <v>497463</v>
      </c>
      <c r="K38" s="250"/>
      <c r="L38" s="251"/>
      <c r="M38" s="281"/>
      <c r="N38" s="251"/>
      <c r="O38" s="251"/>
      <c r="P38" s="251"/>
      <c r="Q38" s="251"/>
      <c r="R38" s="251"/>
      <c r="S38" s="251"/>
      <c r="T38" s="251"/>
      <c r="U38" s="251"/>
      <c r="V38" s="251"/>
      <c r="W38" s="251"/>
      <c r="X38" s="531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32"/>
      <c r="B39" s="379"/>
      <c r="C39" s="417"/>
      <c r="D39" s="417"/>
      <c r="E39" s="523"/>
      <c r="F39" s="524"/>
      <c r="G39" s="402"/>
      <c r="H39" s="90"/>
      <c r="I39" s="61" t="s">
        <v>28</v>
      </c>
      <c r="J39" s="250">
        <v>58526</v>
      </c>
      <c r="K39" s="250"/>
      <c r="L39" s="87"/>
      <c r="M39" s="173"/>
      <c r="N39" s="87"/>
      <c r="O39" s="87">
        <v>0</v>
      </c>
      <c r="P39" s="251"/>
      <c r="Q39" s="251"/>
      <c r="R39" s="251"/>
      <c r="S39" s="251"/>
      <c r="T39" s="251"/>
      <c r="U39" s="251"/>
      <c r="V39" s="251"/>
      <c r="W39" s="251"/>
      <c r="X39" s="531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32"/>
      <c r="B40" s="379"/>
      <c r="C40" s="417"/>
      <c r="D40" s="417"/>
      <c r="E40" s="523"/>
      <c r="F40" s="524"/>
      <c r="G40" s="402"/>
      <c r="H40" s="90"/>
      <c r="I40" s="61" t="s">
        <v>30</v>
      </c>
      <c r="J40" s="250"/>
      <c r="K40" s="250"/>
      <c r="L40" s="87"/>
      <c r="M40" s="173"/>
      <c r="N40" s="87"/>
      <c r="O40" s="251"/>
      <c r="P40" s="251"/>
      <c r="Q40" s="251"/>
      <c r="R40" s="251"/>
      <c r="S40" s="251"/>
      <c r="T40" s="251"/>
      <c r="U40" s="251"/>
      <c r="V40" s="251"/>
      <c r="W40" s="251"/>
      <c r="X40" s="531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32"/>
      <c r="B41" s="379"/>
      <c r="C41" s="417"/>
      <c r="D41" s="417"/>
      <c r="E41" s="523"/>
      <c r="F41" s="524"/>
      <c r="G41" s="402"/>
      <c r="H41" s="90"/>
      <c r="I41" s="61" t="s">
        <v>33</v>
      </c>
      <c r="J41" s="250"/>
      <c r="K41" s="250"/>
      <c r="L41" s="252"/>
      <c r="M41" s="252"/>
      <c r="N41" s="252"/>
      <c r="O41" s="251"/>
      <c r="P41" s="251"/>
      <c r="Q41" s="251"/>
      <c r="R41" s="251"/>
      <c r="S41" s="251"/>
      <c r="T41" s="251"/>
      <c r="U41" s="251"/>
      <c r="V41" s="251"/>
      <c r="W41" s="251"/>
      <c r="X41" s="531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32"/>
      <c r="B42" s="379"/>
      <c r="C42" s="417"/>
      <c r="D42" s="417"/>
      <c r="E42" s="523"/>
      <c r="F42" s="524"/>
      <c r="G42" s="402"/>
      <c r="H42" s="251"/>
      <c r="I42" s="59" t="s">
        <v>26</v>
      </c>
      <c r="J42" s="253">
        <f t="shared" ref="J42:O42" si="16">SUM(J38:J41)</f>
        <v>555989</v>
      </c>
      <c r="K42" s="253">
        <f t="shared" si="16"/>
        <v>0</v>
      </c>
      <c r="L42" s="254">
        <f t="shared" si="16"/>
        <v>0</v>
      </c>
      <c r="M42" s="286">
        <f t="shared" si="16"/>
        <v>0</v>
      </c>
      <c r="N42" s="254">
        <f t="shared" si="16"/>
        <v>0</v>
      </c>
      <c r="O42" s="255">
        <f t="shared" si="16"/>
        <v>0</v>
      </c>
      <c r="P42" s="255"/>
      <c r="Q42" s="255"/>
      <c r="R42" s="255"/>
      <c r="S42" s="255"/>
      <c r="T42" s="255"/>
      <c r="U42" s="255"/>
      <c r="V42" s="255"/>
      <c r="W42" s="255"/>
      <c r="X42" s="531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71">
        <v>3</v>
      </c>
      <c r="B43" s="379" t="s">
        <v>202</v>
      </c>
      <c r="C43" s="417">
        <v>2021</v>
      </c>
      <c r="D43" s="417">
        <v>2022</v>
      </c>
      <c r="E43" s="523" t="s">
        <v>27</v>
      </c>
      <c r="F43" s="361">
        <f>X43</f>
        <v>0</v>
      </c>
      <c r="G43" s="486" t="s">
        <v>115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84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71"/>
      <c r="B44" s="379"/>
      <c r="C44" s="417"/>
      <c r="D44" s="417"/>
      <c r="E44" s="523"/>
      <c r="F44" s="361"/>
      <c r="G44" s="486"/>
      <c r="H44" s="90"/>
      <c r="I44" s="61" t="s">
        <v>28</v>
      </c>
      <c r="J44" s="87">
        <v>11071</v>
      </c>
      <c r="K44" s="87">
        <v>18645</v>
      </c>
      <c r="L44" s="256"/>
      <c r="M44" s="256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84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71"/>
      <c r="B45" s="379"/>
      <c r="C45" s="417"/>
      <c r="D45" s="417"/>
      <c r="E45" s="523"/>
      <c r="F45" s="361"/>
      <c r="G45" s="486"/>
      <c r="H45" s="90"/>
      <c r="I45" s="61" t="s">
        <v>30</v>
      </c>
      <c r="J45" s="84">
        <v>62733</v>
      </c>
      <c r="K45" s="84">
        <v>105655</v>
      </c>
      <c r="L45" s="256"/>
      <c r="M45" s="256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84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71"/>
      <c r="B46" s="379"/>
      <c r="C46" s="417"/>
      <c r="D46" s="417"/>
      <c r="E46" s="523"/>
      <c r="F46" s="361"/>
      <c r="G46" s="486"/>
      <c r="H46" s="90"/>
      <c r="I46" s="61" t="s">
        <v>33</v>
      </c>
      <c r="J46" s="62"/>
      <c r="K46" s="62"/>
      <c r="L46" s="257"/>
      <c r="M46" s="257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84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71"/>
      <c r="B47" s="379"/>
      <c r="C47" s="417"/>
      <c r="D47" s="417"/>
      <c r="E47" s="523"/>
      <c r="F47" s="361"/>
      <c r="G47" s="486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8">
        <f t="shared" si="17"/>
        <v>0</v>
      </c>
      <c r="M47" s="258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84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71">
        <v>4</v>
      </c>
      <c r="B48" s="379" t="s">
        <v>124</v>
      </c>
      <c r="C48" s="466">
        <v>2021</v>
      </c>
      <c r="D48" s="466">
        <v>2024</v>
      </c>
      <c r="E48" s="495" t="s">
        <v>27</v>
      </c>
      <c r="F48" s="454">
        <f>SUM(L52:W52)</f>
        <v>0</v>
      </c>
      <c r="G48" s="494" t="s">
        <v>120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5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71"/>
      <c r="B49" s="379"/>
      <c r="C49" s="466"/>
      <c r="D49" s="466"/>
      <c r="E49" s="495"/>
      <c r="F49" s="454"/>
      <c r="G49" s="494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5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71"/>
      <c r="B50" s="379"/>
      <c r="C50" s="466"/>
      <c r="D50" s="466"/>
      <c r="E50" s="495"/>
      <c r="F50" s="454"/>
      <c r="G50" s="494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5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71"/>
      <c r="B51" s="379"/>
      <c r="C51" s="466"/>
      <c r="D51" s="466"/>
      <c r="E51" s="495"/>
      <c r="F51" s="454"/>
      <c r="G51" s="494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5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71"/>
      <c r="B52" s="379"/>
      <c r="C52" s="466"/>
      <c r="D52" s="466"/>
      <c r="E52" s="495"/>
      <c r="F52" s="454"/>
      <c r="G52" s="494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5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71">
        <v>2</v>
      </c>
      <c r="B53" s="551" t="s">
        <v>203</v>
      </c>
      <c r="C53" s="372">
        <v>2021</v>
      </c>
      <c r="D53" s="372">
        <v>2023</v>
      </c>
      <c r="E53" s="373" t="s">
        <v>123</v>
      </c>
      <c r="F53" s="484"/>
      <c r="G53" s="365">
        <v>85395</v>
      </c>
      <c r="H53" s="88"/>
      <c r="I53" s="211" t="s">
        <v>28</v>
      </c>
      <c r="J53" s="173"/>
      <c r="K53" s="173"/>
      <c r="L53" s="226"/>
      <c r="M53" s="226"/>
      <c r="N53" s="226"/>
      <c r="O53" s="177"/>
      <c r="P53" s="177"/>
      <c r="Q53" s="177"/>
      <c r="R53" s="177"/>
      <c r="S53" s="177"/>
      <c r="T53" s="177"/>
      <c r="U53" s="177"/>
      <c r="V53" s="177"/>
      <c r="W53" s="177"/>
      <c r="X53" s="484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71"/>
      <c r="B54" s="551"/>
      <c r="C54" s="372"/>
      <c r="D54" s="372"/>
      <c r="E54" s="373"/>
      <c r="F54" s="484"/>
      <c r="G54" s="365"/>
      <c r="H54" s="86"/>
      <c r="I54" s="67" t="s">
        <v>28</v>
      </c>
      <c r="J54" s="87">
        <v>302484</v>
      </c>
      <c r="K54" s="173">
        <v>140503</v>
      </c>
      <c r="L54" s="173"/>
      <c r="M54" s="226"/>
      <c r="N54" s="226"/>
      <c r="O54" s="177"/>
      <c r="P54" s="177"/>
      <c r="Q54" s="177"/>
      <c r="R54" s="177"/>
      <c r="S54" s="177"/>
      <c r="T54" s="177"/>
      <c r="U54" s="177"/>
      <c r="V54" s="177"/>
      <c r="W54" s="177"/>
      <c r="X54" s="484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71"/>
      <c r="B55" s="551"/>
      <c r="C55" s="372"/>
      <c r="D55" s="372"/>
      <c r="E55" s="373"/>
      <c r="F55" s="484"/>
      <c r="G55" s="365"/>
      <c r="H55" s="86"/>
      <c r="I55" s="58" t="s">
        <v>31</v>
      </c>
      <c r="J55" s="87"/>
      <c r="K55" s="173"/>
      <c r="L55" s="173"/>
      <c r="M55" s="173"/>
      <c r="N55" s="226"/>
      <c r="O55" s="177"/>
      <c r="P55" s="177"/>
      <c r="Q55" s="177"/>
      <c r="R55" s="177"/>
      <c r="S55" s="177"/>
      <c r="T55" s="177"/>
      <c r="U55" s="177"/>
      <c r="V55" s="177"/>
      <c r="W55" s="177"/>
      <c r="X55" s="484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71"/>
      <c r="B56" s="551"/>
      <c r="C56" s="372"/>
      <c r="D56" s="372"/>
      <c r="E56" s="373"/>
      <c r="F56" s="484"/>
      <c r="G56" s="365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84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71"/>
      <c r="B57" s="551"/>
      <c r="C57" s="372"/>
      <c r="D57" s="372"/>
      <c r="E57" s="373"/>
      <c r="F57" s="484"/>
      <c r="G57" s="365"/>
      <c r="H57" s="89"/>
      <c r="I57" s="60" t="s">
        <v>33</v>
      </c>
      <c r="J57" s="227"/>
      <c r="K57" s="228"/>
      <c r="L57" s="226"/>
      <c r="M57" s="226"/>
      <c r="N57" s="226"/>
      <c r="O57" s="177"/>
      <c r="P57" s="177"/>
      <c r="Q57" s="177"/>
      <c r="R57" s="177"/>
      <c r="S57" s="177"/>
      <c r="T57" s="177"/>
      <c r="U57" s="177"/>
      <c r="V57" s="177"/>
      <c r="W57" s="177"/>
      <c r="X57" s="484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71"/>
      <c r="B58" s="551"/>
      <c r="C58" s="372"/>
      <c r="D58" s="372"/>
      <c r="E58" s="373"/>
      <c r="F58" s="484"/>
      <c r="G58" s="365"/>
      <c r="H58" s="88"/>
      <c r="I58" s="59" t="s">
        <v>26</v>
      </c>
      <c r="J58" s="65">
        <f t="shared" ref="J58:P58" si="19">SUM(J53:J57)</f>
        <v>548587</v>
      </c>
      <c r="K58" s="229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84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3" t="s">
        <v>22</v>
      </c>
      <c r="C59" s="444"/>
      <c r="D59" s="444"/>
      <c r="E59" s="445"/>
      <c r="F59" s="236">
        <f>F72+F87+F78+F117+F60+F66+F82+F94</f>
        <v>5213367</v>
      </c>
      <c r="G59" s="56" t="s">
        <v>11</v>
      </c>
      <c r="H59" s="56" t="s">
        <v>11</v>
      </c>
      <c r="I59" s="56" t="s">
        <v>11</v>
      </c>
      <c r="J59" s="233" t="e">
        <f>J65+J77+J93+#REF!+J98+J104+J110+J116</f>
        <v>#REF!</v>
      </c>
      <c r="K59" s="233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</f>
        <v>1932720</v>
      </c>
      <c r="O59" s="57">
        <f t="shared" ref="O59:W59" si="20">O71+O86+O93+O98</f>
        <v>1987700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6">
        <f>X60+X72+X87+X78+X117+X66+X82+X94</f>
        <v>5166894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71">
        <v>1</v>
      </c>
      <c r="B60" s="487" t="s">
        <v>192</v>
      </c>
      <c r="C60" s="360">
        <v>2022</v>
      </c>
      <c r="D60" s="360">
        <v>2024</v>
      </c>
      <c r="E60" s="359" t="s">
        <v>27</v>
      </c>
      <c r="F60" s="419">
        <f>X60</f>
        <v>0</v>
      </c>
      <c r="G60" s="370" t="s">
        <v>193</v>
      </c>
      <c r="H60" s="165"/>
      <c r="I60" s="183" t="s">
        <v>28</v>
      </c>
      <c r="J60" s="184"/>
      <c r="K60" s="279"/>
      <c r="L60" s="187"/>
      <c r="M60" s="137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369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71"/>
      <c r="B61" s="487"/>
      <c r="C61" s="360"/>
      <c r="D61" s="360"/>
      <c r="E61" s="359"/>
      <c r="F61" s="419"/>
      <c r="G61" s="370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369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71"/>
      <c r="B62" s="487"/>
      <c r="C62" s="360"/>
      <c r="D62" s="360"/>
      <c r="E62" s="359"/>
      <c r="F62" s="419"/>
      <c r="G62" s="370"/>
      <c r="H62" s="200"/>
      <c r="I62" s="166" t="s">
        <v>31</v>
      </c>
      <c r="J62" s="188"/>
      <c r="K62" s="188"/>
      <c r="L62" s="187"/>
      <c r="M62" s="87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369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71"/>
      <c r="B63" s="487"/>
      <c r="C63" s="360"/>
      <c r="D63" s="360"/>
      <c r="E63" s="359"/>
      <c r="F63" s="419"/>
      <c r="G63" s="370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369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71"/>
      <c r="B64" s="487"/>
      <c r="C64" s="360"/>
      <c r="D64" s="360"/>
      <c r="E64" s="359"/>
      <c r="F64" s="419"/>
      <c r="G64" s="370"/>
      <c r="H64" s="200"/>
      <c r="I64" s="166" t="s">
        <v>33</v>
      </c>
      <c r="J64" s="279"/>
      <c r="K64" s="279"/>
      <c r="L64" s="187"/>
      <c r="M64" s="98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369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71"/>
      <c r="B65" s="487"/>
      <c r="C65" s="360"/>
      <c r="D65" s="360"/>
      <c r="E65" s="359"/>
      <c r="F65" s="419"/>
      <c r="G65" s="370"/>
      <c r="H65" s="200"/>
      <c r="I65" s="160" t="s">
        <v>26</v>
      </c>
      <c r="J65" s="220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69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71">
        <v>1</v>
      </c>
      <c r="B66" s="487" t="s">
        <v>244</v>
      </c>
      <c r="C66" s="360">
        <v>2024</v>
      </c>
      <c r="D66" s="360">
        <v>2025</v>
      </c>
      <c r="E66" s="359" t="s">
        <v>259</v>
      </c>
      <c r="F66" s="419">
        <f>X66</f>
        <v>499990</v>
      </c>
      <c r="G66" s="370" t="s">
        <v>120</v>
      </c>
      <c r="H66" s="165"/>
      <c r="I66" s="183" t="s">
        <v>28</v>
      </c>
      <c r="J66" s="184"/>
      <c r="K66" s="279"/>
      <c r="L66" s="187"/>
      <c r="M66" s="137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369">
        <f>SUM(L71:P71)</f>
        <v>499990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71"/>
      <c r="B67" s="487"/>
      <c r="C67" s="360"/>
      <c r="D67" s="360"/>
      <c r="E67" s="359"/>
      <c r="F67" s="419"/>
      <c r="G67" s="370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9"/>
      <c r="P67" s="279"/>
      <c r="Q67" s="279"/>
      <c r="R67" s="279"/>
      <c r="S67" s="279"/>
      <c r="T67" s="279"/>
      <c r="U67" s="279"/>
      <c r="V67" s="279"/>
      <c r="W67" s="279"/>
      <c r="X67" s="369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71"/>
      <c r="B68" s="487"/>
      <c r="C68" s="360"/>
      <c r="D68" s="360"/>
      <c r="E68" s="359"/>
      <c r="F68" s="419"/>
      <c r="G68" s="370"/>
      <c r="H68" s="200"/>
      <c r="I68" s="166" t="s">
        <v>31</v>
      </c>
      <c r="J68" s="188"/>
      <c r="K68" s="188"/>
      <c r="L68" s="187"/>
      <c r="M68" s="87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369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71"/>
      <c r="B69" s="487"/>
      <c r="C69" s="360"/>
      <c r="D69" s="360"/>
      <c r="E69" s="359"/>
      <c r="F69" s="419"/>
      <c r="G69" s="370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487559</v>
      </c>
      <c r="O69" s="279"/>
      <c r="P69" s="279"/>
      <c r="Q69" s="279"/>
      <c r="R69" s="279"/>
      <c r="S69" s="279"/>
      <c r="T69" s="279"/>
      <c r="U69" s="279"/>
      <c r="V69" s="279"/>
      <c r="W69" s="279"/>
      <c r="X69" s="369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71"/>
      <c r="B70" s="487"/>
      <c r="C70" s="360"/>
      <c r="D70" s="360"/>
      <c r="E70" s="359"/>
      <c r="F70" s="419"/>
      <c r="G70" s="370"/>
      <c r="H70" s="200"/>
      <c r="I70" s="166" t="s">
        <v>33</v>
      </c>
      <c r="J70" s="279"/>
      <c r="K70" s="279"/>
      <c r="L70" s="187"/>
      <c r="M70" s="98"/>
      <c r="N70" s="279"/>
      <c r="O70" s="279"/>
      <c r="P70" s="279"/>
      <c r="Q70" s="279"/>
      <c r="R70" s="279"/>
      <c r="S70" s="279"/>
      <c r="T70" s="279"/>
      <c r="U70" s="279"/>
      <c r="V70" s="279"/>
      <c r="W70" s="279"/>
      <c r="X70" s="369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71"/>
      <c r="B71" s="487"/>
      <c r="C71" s="360"/>
      <c r="D71" s="360"/>
      <c r="E71" s="359"/>
      <c r="F71" s="419"/>
      <c r="G71" s="370"/>
      <c r="H71" s="200"/>
      <c r="I71" s="160" t="s">
        <v>26</v>
      </c>
      <c r="J71" s="220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499990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69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71">
        <v>3</v>
      </c>
      <c r="B72" s="487" t="s">
        <v>191</v>
      </c>
      <c r="C72" s="417">
        <v>2022</v>
      </c>
      <c r="D72" s="372">
        <v>2024</v>
      </c>
      <c r="E72" s="373" t="s">
        <v>27</v>
      </c>
      <c r="F72" s="484">
        <f>X72</f>
        <v>0</v>
      </c>
      <c r="G72" s="486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69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71"/>
      <c r="B73" s="487"/>
      <c r="C73" s="417"/>
      <c r="D73" s="372"/>
      <c r="E73" s="373"/>
      <c r="F73" s="484"/>
      <c r="G73" s="486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7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69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71"/>
      <c r="B74" s="487"/>
      <c r="C74" s="417"/>
      <c r="D74" s="372"/>
      <c r="E74" s="373"/>
      <c r="F74" s="484"/>
      <c r="G74" s="486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69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71"/>
      <c r="B75" s="487"/>
      <c r="C75" s="417"/>
      <c r="D75" s="372"/>
      <c r="E75" s="373"/>
      <c r="F75" s="484"/>
      <c r="G75" s="486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69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71"/>
      <c r="B76" s="487"/>
      <c r="C76" s="417"/>
      <c r="D76" s="372"/>
      <c r="E76" s="373"/>
      <c r="F76" s="484"/>
      <c r="G76" s="486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69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71"/>
      <c r="B77" s="487"/>
      <c r="C77" s="417"/>
      <c r="D77" s="372"/>
      <c r="E77" s="373"/>
      <c r="F77" s="484"/>
      <c r="G77" s="486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9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69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5">
        <v>4</v>
      </c>
      <c r="B78" s="487" t="s">
        <v>245</v>
      </c>
      <c r="C78" s="372">
        <v>2020</v>
      </c>
      <c r="D78" s="372">
        <v>2024</v>
      </c>
      <c r="E78" s="373" t="s">
        <v>27</v>
      </c>
      <c r="F78" s="484"/>
      <c r="G78" s="365">
        <v>80101</v>
      </c>
      <c r="H78" s="90">
        <v>6059</v>
      </c>
      <c r="I78" s="264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69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6"/>
      <c r="B79" s="487"/>
      <c r="C79" s="372"/>
      <c r="D79" s="372"/>
      <c r="E79" s="373"/>
      <c r="F79" s="484"/>
      <c r="G79" s="365"/>
      <c r="H79" s="90">
        <v>6056</v>
      </c>
      <c r="I79" s="264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69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6"/>
      <c r="B80" s="487"/>
      <c r="C80" s="372"/>
      <c r="D80" s="372"/>
      <c r="E80" s="373"/>
      <c r="F80" s="484"/>
      <c r="G80" s="365"/>
      <c r="H80" s="86">
        <v>6057</v>
      </c>
      <c r="I80" s="231" t="s">
        <v>161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69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7"/>
      <c r="B81" s="487"/>
      <c r="C81" s="372"/>
      <c r="D81" s="372"/>
      <c r="E81" s="373"/>
      <c r="F81" s="484"/>
      <c r="G81" s="365"/>
      <c r="H81" s="90"/>
      <c r="I81" s="64" t="s">
        <v>26</v>
      </c>
      <c r="J81" s="232">
        <f t="shared" ref="J81:P81" si="24">SUM(J78:J80)</f>
        <v>862691</v>
      </c>
      <c r="K81" s="229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69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5">
        <v>2</v>
      </c>
      <c r="B82" s="541" t="s">
        <v>255</v>
      </c>
      <c r="C82" s="426">
        <v>2024</v>
      </c>
      <c r="D82" s="426">
        <v>2025</v>
      </c>
      <c r="E82" s="359" t="s">
        <v>259</v>
      </c>
      <c r="F82" s="544">
        <f>X82</f>
        <v>531820</v>
      </c>
      <c r="G82" s="411">
        <v>90095</v>
      </c>
      <c r="H82" s="90">
        <v>6059</v>
      </c>
      <c r="I82" s="61" t="s">
        <v>28</v>
      </c>
      <c r="J82" s="335"/>
      <c r="K82" s="335"/>
      <c r="L82" s="335"/>
      <c r="M82" s="335"/>
      <c r="N82" s="87">
        <v>50000</v>
      </c>
      <c r="O82" s="71"/>
      <c r="P82" s="71"/>
      <c r="Q82" s="71"/>
      <c r="R82" s="71"/>
      <c r="S82" s="71"/>
      <c r="T82" s="71"/>
      <c r="U82" s="71"/>
      <c r="V82" s="71"/>
      <c r="W82" s="71"/>
      <c r="X82" s="369">
        <f>N86</f>
        <v>531820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6"/>
      <c r="B83" s="542"/>
      <c r="C83" s="427"/>
      <c r="D83" s="427"/>
      <c r="E83" s="359"/>
      <c r="F83" s="545"/>
      <c r="G83" s="412"/>
      <c r="H83" s="90"/>
      <c r="I83" s="61"/>
      <c r="J83" s="335"/>
      <c r="K83" s="335"/>
      <c r="L83" s="335"/>
      <c r="M83" s="335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69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6"/>
      <c r="B84" s="542"/>
      <c r="C84" s="427"/>
      <c r="D84" s="427"/>
      <c r="E84" s="359"/>
      <c r="F84" s="545"/>
      <c r="G84" s="412"/>
      <c r="H84" s="90">
        <v>6057</v>
      </c>
      <c r="I84" s="61" t="s">
        <v>30</v>
      </c>
      <c r="J84" s="335"/>
      <c r="K84" s="335"/>
      <c r="L84" s="335"/>
      <c r="M84" s="335"/>
      <c r="N84" s="87">
        <v>481820</v>
      </c>
      <c r="O84" s="71"/>
      <c r="P84" s="71"/>
      <c r="Q84" s="71"/>
      <c r="R84" s="71"/>
      <c r="S84" s="71"/>
      <c r="T84" s="71"/>
      <c r="U84" s="71"/>
      <c r="V84" s="71"/>
      <c r="W84" s="71"/>
      <c r="X84" s="369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6"/>
      <c r="B85" s="542"/>
      <c r="C85" s="427"/>
      <c r="D85" s="427"/>
      <c r="E85" s="359"/>
      <c r="F85" s="545"/>
      <c r="G85" s="412"/>
      <c r="H85" s="90"/>
      <c r="I85" s="61"/>
      <c r="J85" s="335"/>
      <c r="K85" s="335"/>
      <c r="L85" s="335"/>
      <c r="M85" s="335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69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7"/>
      <c r="B86" s="543"/>
      <c r="C86" s="428"/>
      <c r="D86" s="428"/>
      <c r="E86" s="359"/>
      <c r="F86" s="546"/>
      <c r="G86" s="413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531820</v>
      </c>
      <c r="O86" s="65"/>
      <c r="P86" s="65"/>
      <c r="Q86" s="65"/>
      <c r="R86" s="65"/>
      <c r="S86" s="65"/>
      <c r="T86" s="65"/>
      <c r="U86" s="65"/>
      <c r="V86" s="65"/>
      <c r="W86" s="65"/>
      <c r="X86" s="369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71">
        <v>3</v>
      </c>
      <c r="B87" s="487" t="s">
        <v>249</v>
      </c>
      <c r="C87" s="372">
        <v>2024</v>
      </c>
      <c r="D87" s="372">
        <v>2025</v>
      </c>
      <c r="E87" s="511" t="s">
        <v>259</v>
      </c>
      <c r="F87" s="484">
        <f>0+X87</f>
        <v>885910</v>
      </c>
      <c r="G87" s="365">
        <v>75023</v>
      </c>
      <c r="H87" s="88"/>
      <c r="I87" s="211" t="s">
        <v>28</v>
      </c>
      <c r="J87" s="226"/>
      <c r="K87" s="173"/>
      <c r="L87" s="85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30"/>
      <c r="X87" s="369">
        <f>SUM(L93:P93)</f>
        <v>885910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71"/>
      <c r="B88" s="487"/>
      <c r="C88" s="372"/>
      <c r="D88" s="372"/>
      <c r="E88" s="511"/>
      <c r="F88" s="484"/>
      <c r="G88" s="365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338">
        <v>106310</v>
      </c>
      <c r="O88" s="230"/>
      <c r="P88" s="230"/>
      <c r="Q88" s="230"/>
      <c r="R88" s="230"/>
      <c r="S88" s="230"/>
      <c r="T88" s="230"/>
      <c r="U88" s="230"/>
      <c r="V88" s="230"/>
      <c r="W88" s="230"/>
      <c r="X88" s="369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71"/>
      <c r="B89" s="487"/>
      <c r="C89" s="372"/>
      <c r="D89" s="372"/>
      <c r="E89" s="511"/>
      <c r="F89" s="484"/>
      <c r="G89" s="365"/>
      <c r="H89" s="90">
        <v>6059</v>
      </c>
      <c r="I89" s="61" t="s">
        <v>31</v>
      </c>
      <c r="J89" s="175"/>
      <c r="K89" s="175"/>
      <c r="L89" s="84"/>
      <c r="M89" s="230"/>
      <c r="N89" s="339">
        <v>109144</v>
      </c>
      <c r="O89" s="230"/>
      <c r="P89" s="230"/>
      <c r="Q89" s="230"/>
      <c r="R89" s="230"/>
      <c r="S89" s="230"/>
      <c r="T89" s="230"/>
      <c r="U89" s="230"/>
      <c r="V89" s="230"/>
      <c r="W89" s="230"/>
      <c r="X89" s="369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71"/>
      <c r="B90" s="487"/>
      <c r="C90" s="372"/>
      <c r="D90" s="372"/>
      <c r="E90" s="511"/>
      <c r="F90" s="484"/>
      <c r="G90" s="365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30"/>
      <c r="P90" s="230"/>
      <c r="Q90" s="230"/>
      <c r="R90" s="230"/>
      <c r="S90" s="230"/>
      <c r="T90" s="230"/>
      <c r="U90" s="230"/>
      <c r="V90" s="230"/>
      <c r="W90" s="230"/>
      <c r="X90" s="369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71"/>
      <c r="B91" s="487"/>
      <c r="C91" s="372"/>
      <c r="D91" s="372"/>
      <c r="E91" s="511"/>
      <c r="F91" s="484"/>
      <c r="G91" s="365"/>
      <c r="H91" s="89"/>
      <c r="I91" s="60" t="s">
        <v>33</v>
      </c>
      <c r="J91" s="230"/>
      <c r="K91" s="175"/>
      <c r="L91" s="84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30"/>
      <c r="X91" s="369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5.75" customHeight="1">
      <c r="A92" s="371"/>
      <c r="B92" s="487"/>
      <c r="C92" s="372"/>
      <c r="D92" s="372"/>
      <c r="E92" s="511"/>
      <c r="F92" s="484"/>
      <c r="G92" s="365"/>
      <c r="H92" s="88"/>
      <c r="I92" s="231" t="s">
        <v>75</v>
      </c>
      <c r="J92" s="173">
        <v>852941</v>
      </c>
      <c r="K92" s="173">
        <v>365500</v>
      </c>
      <c r="L92" s="84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369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5.75" customHeight="1">
      <c r="A93" s="371"/>
      <c r="B93" s="487"/>
      <c r="C93" s="372"/>
      <c r="D93" s="372"/>
      <c r="E93" s="511"/>
      <c r="F93" s="484"/>
      <c r="G93" s="365"/>
      <c r="H93" s="89"/>
      <c r="I93" s="64" t="s">
        <v>26</v>
      </c>
      <c r="J93" s="232">
        <f>SUM(J87:J92)</f>
        <v>932174</v>
      </c>
      <c r="K93" s="229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885910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69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4">
        <v>4</v>
      </c>
      <c r="B94" s="538" t="s">
        <v>222</v>
      </c>
      <c r="C94" s="388">
        <v>2019</v>
      </c>
      <c r="D94" s="407">
        <v>2027</v>
      </c>
      <c r="E94" s="511" t="s">
        <v>259</v>
      </c>
      <c r="F94" s="540">
        <f>46473+X94</f>
        <v>3295647</v>
      </c>
      <c r="G94" s="394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353">
        <v>15000</v>
      </c>
      <c r="O94" s="353"/>
      <c r="P94" s="353"/>
      <c r="Q94" s="174"/>
      <c r="R94" s="174"/>
      <c r="S94" s="174"/>
      <c r="T94" s="174"/>
      <c r="U94" s="174"/>
      <c r="V94" s="174"/>
      <c r="W94" s="174"/>
      <c r="X94" s="469">
        <f>SUM(N98:W98)</f>
        <v>3249174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4"/>
      <c r="B95" s="538"/>
      <c r="C95" s="388"/>
      <c r="D95" s="407"/>
      <c r="E95" s="511"/>
      <c r="F95" s="540"/>
      <c r="G95" s="394"/>
      <c r="H95" s="86">
        <v>6059</v>
      </c>
      <c r="I95" s="58" t="s">
        <v>28</v>
      </c>
      <c r="J95" s="94"/>
      <c r="K95" s="115"/>
      <c r="L95" s="123"/>
      <c r="M95" s="123"/>
      <c r="N95" s="353"/>
      <c r="O95" s="353">
        <v>550000</v>
      </c>
      <c r="P95" s="353">
        <v>550000</v>
      </c>
      <c r="Q95" s="174"/>
      <c r="R95" s="174"/>
      <c r="S95" s="174"/>
      <c r="T95" s="174"/>
      <c r="U95" s="174"/>
      <c r="V95" s="174"/>
      <c r="W95" s="174"/>
      <c r="X95" s="469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4"/>
      <c r="B96" s="538"/>
      <c r="C96" s="388"/>
      <c r="D96" s="407"/>
      <c r="E96" s="511"/>
      <c r="F96" s="540"/>
      <c r="G96" s="394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354"/>
      <c r="O96" s="353">
        <v>1437700</v>
      </c>
      <c r="P96" s="353">
        <v>696474</v>
      </c>
      <c r="Q96" s="174"/>
      <c r="R96" s="174"/>
      <c r="S96" s="174"/>
      <c r="T96" s="174"/>
      <c r="U96" s="174"/>
      <c r="V96" s="174"/>
      <c r="W96" s="174"/>
      <c r="X96" s="469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4"/>
      <c r="B97" s="538"/>
      <c r="C97" s="388"/>
      <c r="D97" s="407"/>
      <c r="E97" s="511"/>
      <c r="F97" s="540"/>
      <c r="G97" s="394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469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7.25" customHeight="1">
      <c r="A98" s="404"/>
      <c r="B98" s="538"/>
      <c r="C98" s="388"/>
      <c r="D98" s="407"/>
      <c r="E98" s="511"/>
      <c r="F98" s="540"/>
      <c r="G98" s="394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15000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469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 ht="24.75" hidden="1" customHeight="1">
      <c r="A99" s="404">
        <v>6</v>
      </c>
      <c r="B99" s="521" t="s">
        <v>125</v>
      </c>
      <c r="C99" s="457">
        <v>2017</v>
      </c>
      <c r="D99" s="449">
        <v>2019</v>
      </c>
      <c r="E99" s="481" t="s">
        <v>27</v>
      </c>
      <c r="F99" s="355"/>
      <c r="G99" s="367">
        <v>90095</v>
      </c>
      <c r="H99" s="104">
        <v>6050</v>
      </c>
      <c r="I99" s="105" t="s">
        <v>28</v>
      </c>
      <c r="J99" s="115"/>
      <c r="K99" s="116"/>
      <c r="L99" s="116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368"/>
      <c r="Y99" s="4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 ht="24.75" hidden="1" customHeight="1">
      <c r="A100" s="404"/>
      <c r="B100" s="521"/>
      <c r="C100" s="457"/>
      <c r="D100" s="449"/>
      <c r="E100" s="481"/>
      <c r="F100" s="355"/>
      <c r="G100" s="367"/>
      <c r="H100" s="104">
        <v>6059</v>
      </c>
      <c r="I100" s="118" t="s">
        <v>28</v>
      </c>
      <c r="J100" s="98">
        <v>99566</v>
      </c>
      <c r="K100" s="126"/>
      <c r="L100" s="126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368"/>
      <c r="Y100" s="4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 ht="24.75" hidden="1" customHeight="1">
      <c r="A101" s="404"/>
      <c r="B101" s="521"/>
      <c r="C101" s="457"/>
      <c r="D101" s="449"/>
      <c r="E101" s="481"/>
      <c r="F101" s="355"/>
      <c r="G101" s="367"/>
      <c r="H101" s="104"/>
      <c r="I101" s="105" t="s">
        <v>31</v>
      </c>
      <c r="J101" s="98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368"/>
      <c r="Y101" s="4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 ht="24.75" hidden="1" customHeight="1">
      <c r="A102" s="404"/>
      <c r="B102" s="521"/>
      <c r="C102" s="457"/>
      <c r="D102" s="449"/>
      <c r="E102" s="481"/>
      <c r="F102" s="355"/>
      <c r="G102" s="367"/>
      <c r="H102" s="104">
        <v>6057</v>
      </c>
      <c r="I102" s="118" t="s">
        <v>30</v>
      </c>
      <c r="J102" s="98">
        <v>232319</v>
      </c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368"/>
      <c r="Y102" s="4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 ht="24.75" hidden="1" customHeight="1">
      <c r="A103" s="404"/>
      <c r="B103" s="521"/>
      <c r="C103" s="457"/>
      <c r="D103" s="449"/>
      <c r="E103" s="481"/>
      <c r="F103" s="355"/>
      <c r="G103" s="367"/>
      <c r="H103" s="119"/>
      <c r="I103" s="97" t="s">
        <v>70</v>
      </c>
      <c r="J103" s="98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368"/>
      <c r="Y103" s="4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22.5" hidden="1" customHeight="1">
      <c r="A104" s="404"/>
      <c r="B104" s="521"/>
      <c r="C104" s="457"/>
      <c r="D104" s="449"/>
      <c r="E104" s="481"/>
      <c r="F104" s="355"/>
      <c r="G104" s="367"/>
      <c r="H104" s="113"/>
      <c r="I104" s="108" t="s">
        <v>26</v>
      </c>
      <c r="J104" s="102">
        <f>SUM(J99:J103)</f>
        <v>331885</v>
      </c>
      <c r="K104" s="120">
        <f t="shared" ref="K104:P104" si="27">SUM(K99:K103)</f>
        <v>0</v>
      </c>
      <c r="L104" s="130">
        <f t="shared" si="27"/>
        <v>0</v>
      </c>
      <c r="M104" s="121">
        <f t="shared" si="27"/>
        <v>0</v>
      </c>
      <c r="N104" s="121">
        <f t="shared" si="27"/>
        <v>0</v>
      </c>
      <c r="O104" s="121">
        <f t="shared" si="27"/>
        <v>0</v>
      </c>
      <c r="P104" s="121">
        <f t="shared" si="27"/>
        <v>0</v>
      </c>
      <c r="Q104" s="121"/>
      <c r="R104" s="121"/>
      <c r="S104" s="121"/>
      <c r="T104" s="121"/>
      <c r="U104" s="121"/>
      <c r="V104" s="121"/>
      <c r="W104" s="121"/>
      <c r="X104" s="368"/>
      <c r="Y104" s="4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4">
        <v>7</v>
      </c>
      <c r="B105" s="521" t="s">
        <v>126</v>
      </c>
      <c r="C105" s="458">
        <v>2017</v>
      </c>
      <c r="D105" s="449">
        <v>2019</v>
      </c>
      <c r="E105" s="456" t="s">
        <v>27</v>
      </c>
      <c r="F105" s="355">
        <v>0</v>
      </c>
      <c r="G105" s="479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68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4"/>
      <c r="B106" s="521"/>
      <c r="C106" s="458"/>
      <c r="D106" s="449"/>
      <c r="E106" s="456"/>
      <c r="F106" s="355"/>
      <c r="G106" s="479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68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4"/>
      <c r="B107" s="521"/>
      <c r="C107" s="458"/>
      <c r="D107" s="449"/>
      <c r="E107" s="456"/>
      <c r="F107" s="355"/>
      <c r="G107" s="479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68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4"/>
      <c r="B108" s="521"/>
      <c r="C108" s="458"/>
      <c r="D108" s="449"/>
      <c r="E108" s="456"/>
      <c r="F108" s="355"/>
      <c r="G108" s="479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68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4"/>
      <c r="B109" s="521"/>
      <c r="C109" s="458"/>
      <c r="D109" s="449"/>
      <c r="E109" s="456"/>
      <c r="F109" s="355"/>
      <c r="G109" s="479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68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4"/>
      <c r="B110" s="521"/>
      <c r="C110" s="458"/>
      <c r="D110" s="449"/>
      <c r="E110" s="456"/>
      <c r="F110" s="355"/>
      <c r="G110" s="479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68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71">
        <v>6</v>
      </c>
      <c r="B111" s="521" t="s">
        <v>127</v>
      </c>
      <c r="C111" s="466">
        <v>2019</v>
      </c>
      <c r="D111" s="449">
        <v>2020</v>
      </c>
      <c r="E111" s="500" t="s">
        <v>27</v>
      </c>
      <c r="F111" s="355"/>
      <c r="G111" s="455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68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71"/>
      <c r="B112" s="521"/>
      <c r="C112" s="466"/>
      <c r="D112" s="449"/>
      <c r="E112" s="500"/>
      <c r="F112" s="355"/>
      <c r="G112" s="455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68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71"/>
      <c r="B113" s="521"/>
      <c r="C113" s="466"/>
      <c r="D113" s="449"/>
      <c r="E113" s="500"/>
      <c r="F113" s="355"/>
      <c r="G113" s="455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68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71"/>
      <c r="B114" s="521"/>
      <c r="C114" s="466"/>
      <c r="D114" s="449"/>
      <c r="E114" s="500"/>
      <c r="F114" s="355"/>
      <c r="G114" s="455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68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71"/>
      <c r="B115" s="521"/>
      <c r="C115" s="466"/>
      <c r="D115" s="449"/>
      <c r="E115" s="500"/>
      <c r="F115" s="355"/>
      <c r="G115" s="455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68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71"/>
      <c r="B116" s="521"/>
      <c r="C116" s="466"/>
      <c r="D116" s="449"/>
      <c r="E116" s="500"/>
      <c r="F116" s="355"/>
      <c r="G116" s="455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68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5">
        <v>5</v>
      </c>
      <c r="B117" s="508" t="s">
        <v>204</v>
      </c>
      <c r="C117" s="407">
        <v>2023</v>
      </c>
      <c r="D117" s="372">
        <v>2023</v>
      </c>
      <c r="E117" s="511" t="s">
        <v>27</v>
      </c>
      <c r="F117" s="484">
        <f>X117</f>
        <v>0</v>
      </c>
      <c r="G117" s="365">
        <v>75495</v>
      </c>
      <c r="H117" s="90">
        <v>6059</v>
      </c>
      <c r="I117" s="264" t="s">
        <v>34</v>
      </c>
      <c r="J117" s="173">
        <f>0.15*(50000+15000)</f>
        <v>9750</v>
      </c>
      <c r="K117" s="175">
        <v>16200</v>
      </c>
      <c r="L117" s="84"/>
      <c r="M117" s="125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369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6"/>
      <c r="B118" s="508"/>
      <c r="C118" s="407"/>
      <c r="D118" s="372"/>
      <c r="E118" s="511"/>
      <c r="F118" s="484"/>
      <c r="G118" s="365"/>
      <c r="H118" s="90"/>
      <c r="I118" s="264" t="s">
        <v>31</v>
      </c>
      <c r="J118" s="175"/>
      <c r="K118" s="175"/>
      <c r="L118" s="84"/>
      <c r="M118" s="125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369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6"/>
      <c r="B119" s="508"/>
      <c r="C119" s="407"/>
      <c r="D119" s="372"/>
      <c r="E119" s="511"/>
      <c r="F119" s="484"/>
      <c r="G119" s="365"/>
      <c r="H119" s="88">
        <v>6057</v>
      </c>
      <c r="I119" s="231" t="s">
        <v>187</v>
      </c>
      <c r="J119" s="173">
        <v>852941</v>
      </c>
      <c r="K119" s="173">
        <v>365500</v>
      </c>
      <c r="L119" s="84"/>
      <c r="M119" s="125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369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7"/>
      <c r="B120" s="508"/>
      <c r="C120" s="407"/>
      <c r="D120" s="372"/>
      <c r="E120" s="511"/>
      <c r="F120" s="484"/>
      <c r="G120" s="365"/>
      <c r="H120" s="89"/>
      <c r="I120" s="64" t="s">
        <v>26</v>
      </c>
      <c r="J120" s="232">
        <f t="shared" ref="J120:P120" si="30">SUM(J117:J119)</f>
        <v>862691</v>
      </c>
      <c r="K120" s="229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69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4" t="s">
        <v>36</v>
      </c>
      <c r="C121" s="514"/>
      <c r="D121" s="514"/>
      <c r="E121" s="514"/>
      <c r="F121" s="249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4.25" customHeight="1">
      <c r="A122" s="69" t="s">
        <v>37</v>
      </c>
      <c r="B122" s="492" t="s">
        <v>20</v>
      </c>
      <c r="C122" s="492"/>
      <c r="D122" s="492"/>
      <c r="E122" s="492"/>
      <c r="F122" s="247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84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71">
        <v>1</v>
      </c>
      <c r="B123" s="539" t="s">
        <v>63</v>
      </c>
      <c r="C123" s="417">
        <v>2020</v>
      </c>
      <c r="D123" s="372">
        <v>2034</v>
      </c>
      <c r="E123" s="373" t="s">
        <v>259</v>
      </c>
      <c r="F123" s="484">
        <f>836651+X122+857141</f>
        <v>5645801</v>
      </c>
      <c r="G123" s="394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84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71"/>
      <c r="B124" s="539"/>
      <c r="C124" s="417"/>
      <c r="D124" s="372"/>
      <c r="E124" s="373"/>
      <c r="F124" s="484"/>
      <c r="G124" s="394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84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71"/>
      <c r="B125" s="539"/>
      <c r="C125" s="417"/>
      <c r="D125" s="372"/>
      <c r="E125" s="373"/>
      <c r="F125" s="484"/>
      <c r="G125" s="394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84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71"/>
      <c r="B126" s="539"/>
      <c r="C126" s="417"/>
      <c r="D126" s="372"/>
      <c r="E126" s="373"/>
      <c r="F126" s="484"/>
      <c r="G126" s="394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84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71"/>
      <c r="B127" s="539"/>
      <c r="C127" s="417"/>
      <c r="D127" s="372"/>
      <c r="E127" s="373"/>
      <c r="F127" s="484"/>
      <c r="G127" s="394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84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71"/>
      <c r="B128" s="539"/>
      <c r="C128" s="417"/>
      <c r="D128" s="372"/>
      <c r="E128" s="373"/>
      <c r="F128" s="484"/>
      <c r="G128" s="394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7.25" customHeight="1">
      <c r="A129" s="180" t="s">
        <v>38</v>
      </c>
      <c r="B129" s="515" t="s">
        <v>22</v>
      </c>
      <c r="C129" s="515"/>
      <c r="D129" s="515"/>
      <c r="E129" s="515"/>
      <c r="F129" s="248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19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47">
        <v>1</v>
      </c>
      <c r="B130" s="539" t="s">
        <v>63</v>
      </c>
      <c r="C130" s="429">
        <v>2020</v>
      </c>
      <c r="D130" s="360">
        <v>2034</v>
      </c>
      <c r="E130" s="359" t="s">
        <v>259</v>
      </c>
      <c r="F130" s="419">
        <f>531969+X129+580337</f>
        <v>6383701</v>
      </c>
      <c r="G130" s="358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19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7"/>
      <c r="B131" s="539"/>
      <c r="C131" s="429"/>
      <c r="D131" s="360"/>
      <c r="E131" s="359"/>
      <c r="F131" s="419"/>
      <c r="G131" s="358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19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7"/>
      <c r="B132" s="539"/>
      <c r="C132" s="429"/>
      <c r="D132" s="360"/>
      <c r="E132" s="359"/>
      <c r="F132" s="419"/>
      <c r="G132" s="358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19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47"/>
      <c r="B133" s="539"/>
      <c r="C133" s="429"/>
      <c r="D133" s="360"/>
      <c r="E133" s="359"/>
      <c r="F133" s="419"/>
      <c r="G133" s="358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19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47"/>
      <c r="B134" s="539"/>
      <c r="C134" s="429"/>
      <c r="D134" s="360"/>
      <c r="E134" s="359"/>
      <c r="F134" s="419"/>
      <c r="G134" s="358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19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7.45" customHeight="1">
      <c r="A135" s="547"/>
      <c r="B135" s="539"/>
      <c r="C135" s="429"/>
      <c r="D135" s="360"/>
      <c r="E135" s="359"/>
      <c r="F135" s="419"/>
      <c r="G135" s="358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19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16" t="s">
        <v>68</v>
      </c>
      <c r="C136" s="516"/>
      <c r="D136" s="516"/>
      <c r="E136" s="516"/>
      <c r="F136" s="234">
        <f>F137+F168</f>
        <v>151380507.72</v>
      </c>
      <c r="G136" s="235" t="s">
        <v>11</v>
      </c>
      <c r="H136" s="235" t="s">
        <v>11</v>
      </c>
      <c r="I136" s="235" t="s">
        <v>11</v>
      </c>
      <c r="J136" s="234" t="e">
        <f t="shared" ref="J136:T136" si="37">J137+J168</f>
        <v>#REF!</v>
      </c>
      <c r="K136" s="234" t="e">
        <f t="shared" si="37"/>
        <v>#REF!</v>
      </c>
      <c r="L136" s="234">
        <f>L137+L168</f>
        <v>0</v>
      </c>
      <c r="M136" s="234">
        <f t="shared" si="37"/>
        <v>0</v>
      </c>
      <c r="N136" s="344">
        <f t="shared" si="37"/>
        <v>30669806.359999999</v>
      </c>
      <c r="O136" s="234">
        <f t="shared" si="37"/>
        <v>9269052</v>
      </c>
      <c r="P136" s="234">
        <f t="shared" si="37"/>
        <v>12074791</v>
      </c>
      <c r="Q136" s="234">
        <f t="shared" si="37"/>
        <v>11165441</v>
      </c>
      <c r="R136" s="234">
        <f t="shared" si="37"/>
        <v>11671263</v>
      </c>
      <c r="S136" s="234">
        <f t="shared" si="37"/>
        <v>8835000</v>
      </c>
      <c r="T136" s="234">
        <f t="shared" si="37"/>
        <v>7330000</v>
      </c>
      <c r="U136" s="234">
        <f>U137+U168</f>
        <v>5255000</v>
      </c>
      <c r="V136" s="234">
        <f>V137+V168</f>
        <v>3240000</v>
      </c>
      <c r="W136" s="234">
        <f>W137+W168</f>
        <v>170000</v>
      </c>
      <c r="X136" s="234">
        <f>X137+X168</f>
        <v>99680353.359999999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22" t="s">
        <v>20</v>
      </c>
      <c r="C137" s="522"/>
      <c r="D137" s="522"/>
      <c r="E137" s="522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7" t="e">
        <f>J147+J157+J162+#REF!</f>
        <v>#REF!</v>
      </c>
      <c r="K137" s="236" t="e">
        <f>K147+K162+#REF!</f>
        <v>#REF!</v>
      </c>
      <c r="L137" s="236">
        <f t="shared" ref="L137:W137" si="38">L142</f>
        <v>0</v>
      </c>
      <c r="M137" s="236">
        <f>M142+M162</f>
        <v>0</v>
      </c>
      <c r="N137" s="343">
        <f t="shared" ref="N137:O137" si="39">N142+N162</f>
        <v>12540.36</v>
      </c>
      <c r="O137" s="236">
        <f t="shared" si="39"/>
        <v>2760</v>
      </c>
      <c r="P137" s="236">
        <f t="shared" si="38"/>
        <v>0</v>
      </c>
      <c r="Q137" s="236">
        <f t="shared" si="38"/>
        <v>0</v>
      </c>
      <c r="R137" s="236">
        <f t="shared" si="38"/>
        <v>0</v>
      </c>
      <c r="S137" s="236">
        <f t="shared" si="38"/>
        <v>0</v>
      </c>
      <c r="T137" s="236">
        <f t="shared" si="38"/>
        <v>0</v>
      </c>
      <c r="U137" s="236">
        <f t="shared" si="38"/>
        <v>0</v>
      </c>
      <c r="V137" s="236">
        <f t="shared" si="38"/>
        <v>0</v>
      </c>
      <c r="W137" s="236">
        <f t="shared" si="38"/>
        <v>0</v>
      </c>
      <c r="X137" s="236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71">
        <v>1</v>
      </c>
      <c r="B138" s="538" t="s">
        <v>253</v>
      </c>
      <c r="C138" s="372">
        <v>2024</v>
      </c>
      <c r="D138" s="372">
        <v>2025</v>
      </c>
      <c r="E138" s="373" t="s">
        <v>180</v>
      </c>
      <c r="F138" s="484">
        <f>X138+4909.64</f>
        <v>14000</v>
      </c>
      <c r="G138" s="365">
        <v>80195</v>
      </c>
      <c r="H138" s="88"/>
      <c r="I138" s="211" t="s">
        <v>28</v>
      </c>
      <c r="J138" s="173"/>
      <c r="K138" s="173"/>
      <c r="L138" s="226"/>
      <c r="M138" s="226"/>
      <c r="N138" s="226"/>
      <c r="O138" s="177"/>
      <c r="P138" s="177"/>
      <c r="Q138" s="177"/>
      <c r="R138" s="177"/>
      <c r="S138" s="177"/>
      <c r="T138" s="177"/>
      <c r="U138" s="177"/>
      <c r="V138" s="177"/>
      <c r="W138" s="177"/>
      <c r="X138" s="484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71"/>
      <c r="B139" s="539"/>
      <c r="C139" s="372"/>
      <c r="D139" s="372"/>
      <c r="E139" s="373"/>
      <c r="F139" s="484"/>
      <c r="G139" s="365"/>
      <c r="H139" s="86"/>
      <c r="I139" s="58" t="s">
        <v>31</v>
      </c>
      <c r="J139" s="87"/>
      <c r="K139" s="173"/>
      <c r="L139" s="173"/>
      <c r="M139" s="173"/>
      <c r="N139" s="226"/>
      <c r="O139" s="177"/>
      <c r="P139" s="177"/>
      <c r="Q139" s="177"/>
      <c r="R139" s="177"/>
      <c r="S139" s="177"/>
      <c r="T139" s="177"/>
      <c r="U139" s="177"/>
      <c r="V139" s="177"/>
      <c r="W139" s="177"/>
      <c r="X139" s="484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71"/>
      <c r="B140" s="539"/>
      <c r="C140" s="372"/>
      <c r="D140" s="372"/>
      <c r="E140" s="373"/>
      <c r="F140" s="484"/>
      <c r="G140" s="365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484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71"/>
      <c r="B141" s="539"/>
      <c r="C141" s="372"/>
      <c r="D141" s="372"/>
      <c r="E141" s="373"/>
      <c r="F141" s="484"/>
      <c r="G141" s="365"/>
      <c r="H141" s="89"/>
      <c r="I141" s="60" t="s">
        <v>33</v>
      </c>
      <c r="J141" s="227"/>
      <c r="K141" s="228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484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71"/>
      <c r="B142" s="539"/>
      <c r="C142" s="372"/>
      <c r="D142" s="372"/>
      <c r="E142" s="373"/>
      <c r="F142" s="484"/>
      <c r="G142" s="365"/>
      <c r="H142" s="88"/>
      <c r="I142" s="59" t="s">
        <v>26</v>
      </c>
      <c r="J142" s="65">
        <f t="shared" ref="J142:P142" si="40">SUM(J138:J141)</f>
        <v>246103</v>
      </c>
      <c r="K142" s="229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484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4">
        <v>1</v>
      </c>
      <c r="B143" s="379" t="s">
        <v>128</v>
      </c>
      <c r="C143" s="466">
        <v>2017</v>
      </c>
      <c r="D143" s="466">
        <v>2021</v>
      </c>
      <c r="E143" s="495" t="s">
        <v>27</v>
      </c>
      <c r="F143" s="454">
        <v>0</v>
      </c>
      <c r="G143" s="485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13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4"/>
      <c r="B144" s="379"/>
      <c r="C144" s="466"/>
      <c r="D144" s="466"/>
      <c r="E144" s="495"/>
      <c r="F144" s="454"/>
      <c r="G144" s="485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13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4"/>
      <c r="B145" s="379"/>
      <c r="C145" s="466"/>
      <c r="D145" s="466"/>
      <c r="E145" s="495"/>
      <c r="F145" s="454"/>
      <c r="G145" s="485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13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4"/>
      <c r="B146" s="379"/>
      <c r="C146" s="466"/>
      <c r="D146" s="466"/>
      <c r="E146" s="495"/>
      <c r="F146" s="454"/>
      <c r="G146" s="485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13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4"/>
      <c r="B147" s="379"/>
      <c r="C147" s="466"/>
      <c r="D147" s="466"/>
      <c r="E147" s="495"/>
      <c r="F147" s="454"/>
      <c r="G147" s="485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13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71">
        <v>3</v>
      </c>
      <c r="B148" s="379" t="s">
        <v>93</v>
      </c>
      <c r="C148" s="466">
        <v>2007</v>
      </c>
      <c r="D148" s="466">
        <v>2025</v>
      </c>
      <c r="E148" s="495" t="s">
        <v>27</v>
      </c>
      <c r="F148" s="454">
        <v>0</v>
      </c>
      <c r="G148" s="455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13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71"/>
      <c r="B149" s="379"/>
      <c r="C149" s="466"/>
      <c r="D149" s="466"/>
      <c r="E149" s="495"/>
      <c r="F149" s="454"/>
      <c r="G149" s="455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13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71"/>
      <c r="B150" s="379"/>
      <c r="C150" s="466"/>
      <c r="D150" s="466"/>
      <c r="E150" s="495"/>
      <c r="F150" s="454"/>
      <c r="G150" s="455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13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71"/>
      <c r="B151" s="379"/>
      <c r="C151" s="466"/>
      <c r="D151" s="466"/>
      <c r="E151" s="495"/>
      <c r="F151" s="454"/>
      <c r="G151" s="455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13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71"/>
      <c r="B152" s="379"/>
      <c r="C152" s="466"/>
      <c r="D152" s="466"/>
      <c r="E152" s="495"/>
      <c r="F152" s="454"/>
      <c r="G152" s="455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13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71">
        <v>2</v>
      </c>
      <c r="B153" s="379" t="s">
        <v>101</v>
      </c>
      <c r="C153" s="466">
        <v>2019</v>
      </c>
      <c r="D153" s="466">
        <v>2020</v>
      </c>
      <c r="E153" s="495" t="s">
        <v>27</v>
      </c>
      <c r="F153" s="454"/>
      <c r="G153" s="455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13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71"/>
      <c r="B154" s="379"/>
      <c r="C154" s="466"/>
      <c r="D154" s="466"/>
      <c r="E154" s="495"/>
      <c r="F154" s="454"/>
      <c r="G154" s="455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13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71"/>
      <c r="B155" s="379"/>
      <c r="C155" s="466"/>
      <c r="D155" s="466"/>
      <c r="E155" s="495"/>
      <c r="F155" s="454"/>
      <c r="G155" s="455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13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71"/>
      <c r="B156" s="379"/>
      <c r="C156" s="466"/>
      <c r="D156" s="466"/>
      <c r="E156" s="495"/>
      <c r="F156" s="454"/>
      <c r="G156" s="455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13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71"/>
      <c r="B157" s="379"/>
      <c r="C157" s="466"/>
      <c r="D157" s="466"/>
      <c r="E157" s="495"/>
      <c r="F157" s="454"/>
      <c r="G157" s="455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13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71">
        <v>2</v>
      </c>
      <c r="B158" s="375" t="s">
        <v>254</v>
      </c>
      <c r="C158" s="417">
        <v>2024</v>
      </c>
      <c r="D158" s="417">
        <v>2026</v>
      </c>
      <c r="E158" s="359" t="s">
        <v>259</v>
      </c>
      <c r="F158" s="361">
        <f>X158+3450</f>
        <v>9660</v>
      </c>
      <c r="G158" s="402">
        <v>75023</v>
      </c>
      <c r="H158" s="86">
        <v>4300</v>
      </c>
      <c r="I158" s="211" t="s">
        <v>250</v>
      </c>
      <c r="J158" s="259">
        <v>88050</v>
      </c>
      <c r="K158" s="259">
        <v>88050</v>
      </c>
      <c r="L158" s="262"/>
      <c r="M158" s="259"/>
      <c r="N158" s="259">
        <v>3450</v>
      </c>
      <c r="O158" s="259">
        <v>2760</v>
      </c>
      <c r="P158" s="259"/>
      <c r="Q158" s="259"/>
      <c r="R158" s="259"/>
      <c r="S158" s="259"/>
      <c r="T158" s="259"/>
      <c r="U158" s="259"/>
      <c r="V158" s="259"/>
      <c r="W158" s="259"/>
      <c r="X158" s="484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71"/>
      <c r="B159" s="375"/>
      <c r="C159" s="417"/>
      <c r="D159" s="417"/>
      <c r="E159" s="359"/>
      <c r="F159" s="361"/>
      <c r="G159" s="402"/>
      <c r="H159" s="86"/>
      <c r="I159" s="211" t="s">
        <v>31</v>
      </c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484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71"/>
      <c r="B160" s="375"/>
      <c r="C160" s="417"/>
      <c r="D160" s="417"/>
      <c r="E160" s="359"/>
      <c r="F160" s="361"/>
      <c r="G160" s="402"/>
      <c r="H160" s="86"/>
      <c r="I160" s="211" t="s">
        <v>30</v>
      </c>
      <c r="J160" s="260"/>
      <c r="K160" s="260"/>
      <c r="L160" s="260"/>
      <c r="M160" s="260"/>
      <c r="N160" s="260"/>
      <c r="O160" s="260"/>
      <c r="P160" s="260"/>
      <c r="Q160" s="260"/>
      <c r="R160" s="260"/>
      <c r="S160" s="260"/>
      <c r="T160" s="260"/>
      <c r="U160" s="260"/>
      <c r="V160" s="260"/>
      <c r="W160" s="260"/>
      <c r="X160" s="484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71"/>
      <c r="B161" s="375"/>
      <c r="C161" s="417"/>
      <c r="D161" s="417"/>
      <c r="E161" s="359"/>
      <c r="F161" s="361"/>
      <c r="G161" s="402"/>
      <c r="H161" s="86"/>
      <c r="I161" s="211" t="s">
        <v>33</v>
      </c>
      <c r="J161" s="260"/>
      <c r="K161" s="260"/>
      <c r="L161" s="260"/>
      <c r="M161" s="260"/>
      <c r="N161" s="260"/>
      <c r="O161" s="260"/>
      <c r="P161" s="260"/>
      <c r="Q161" s="260"/>
      <c r="R161" s="260"/>
      <c r="S161" s="260"/>
      <c r="T161" s="260"/>
      <c r="U161" s="260"/>
      <c r="V161" s="260"/>
      <c r="W161" s="260"/>
      <c r="X161" s="484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71"/>
      <c r="B162" s="375"/>
      <c r="C162" s="417"/>
      <c r="D162" s="417"/>
      <c r="E162" s="359"/>
      <c r="F162" s="361"/>
      <c r="G162" s="402"/>
      <c r="H162" s="86"/>
      <c r="I162" s="59" t="s">
        <v>26</v>
      </c>
      <c r="J162" s="261">
        <f t="shared" ref="J162:Q162" si="47">SUM(J158:J161)</f>
        <v>88050</v>
      </c>
      <c r="K162" s="261">
        <f t="shared" si="47"/>
        <v>88050</v>
      </c>
      <c r="L162" s="261">
        <f t="shared" si="47"/>
        <v>0</v>
      </c>
      <c r="M162" s="261">
        <f t="shared" si="47"/>
        <v>0</v>
      </c>
      <c r="N162" s="261">
        <f t="shared" si="47"/>
        <v>3450</v>
      </c>
      <c r="O162" s="261">
        <f t="shared" si="47"/>
        <v>2760</v>
      </c>
      <c r="P162" s="261">
        <f t="shared" si="47"/>
        <v>0</v>
      </c>
      <c r="Q162" s="261">
        <f t="shared" si="47"/>
        <v>0</v>
      </c>
      <c r="R162" s="261"/>
      <c r="S162" s="261"/>
      <c r="T162" s="261"/>
      <c r="U162" s="261"/>
      <c r="V162" s="261"/>
      <c r="W162" s="261"/>
      <c r="X162" s="484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71">
        <v>6</v>
      </c>
      <c r="B163" s="379" t="s">
        <v>94</v>
      </c>
      <c r="C163" s="466">
        <v>2014</v>
      </c>
      <c r="D163" s="466">
        <v>2019</v>
      </c>
      <c r="E163" s="495" t="s">
        <v>27</v>
      </c>
      <c r="F163" s="454">
        <v>0</v>
      </c>
      <c r="G163" s="455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4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71"/>
      <c r="B164" s="379"/>
      <c r="C164" s="466"/>
      <c r="D164" s="466"/>
      <c r="E164" s="495"/>
      <c r="F164" s="454"/>
      <c r="G164" s="455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4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71"/>
      <c r="B165" s="379"/>
      <c r="C165" s="466"/>
      <c r="D165" s="466"/>
      <c r="E165" s="495"/>
      <c r="F165" s="454"/>
      <c r="G165" s="455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4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71"/>
      <c r="B166" s="379"/>
      <c r="C166" s="466"/>
      <c r="D166" s="466"/>
      <c r="E166" s="495"/>
      <c r="F166" s="454"/>
      <c r="G166" s="455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4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71"/>
      <c r="B167" s="379"/>
      <c r="C167" s="466"/>
      <c r="D167" s="466"/>
      <c r="E167" s="495"/>
      <c r="F167" s="454"/>
      <c r="G167" s="455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4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7.25" customHeight="1">
      <c r="A168" s="56" t="s">
        <v>43</v>
      </c>
      <c r="B168" s="522" t="s">
        <v>22</v>
      </c>
      <c r="C168" s="522"/>
      <c r="D168" s="522"/>
      <c r="E168" s="522"/>
      <c r="F168" s="298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</f>
        <v>151356847.72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</f>
        <v>30657266</v>
      </c>
      <c r="O168" s="57">
        <f>O183+O188+O193+O199+O204+O250+O260+O265+O270+O275+O280+O290+O295+O300+O305+O310+O315+O320+O325+O330+O335+O340+O345+O365+O380+O385+O390+O395+O400+O410+O415+O420+O435+O440+O445+O490+O495+O515+O520+O580+O585+O590+O595+O600+O620+O625+O630+O635+O650+O660+O665+O680+O691+O701+O706+O741+O756+O771+O791+O255+O209+O500+O505+O640</f>
        <v>9266292</v>
      </c>
      <c r="P168" s="57">
        <f t="shared" si="49"/>
        <v>12074791</v>
      </c>
      <c r="Q168" s="57">
        <f t="shared" si="49"/>
        <v>11165441</v>
      </c>
      <c r="R168" s="57">
        <f t="shared" si="49"/>
        <v>11671263</v>
      </c>
      <c r="S168" s="57">
        <f t="shared" si="49"/>
        <v>8835000</v>
      </c>
      <c r="T168" s="57">
        <f t="shared" si="49"/>
        <v>7330000</v>
      </c>
      <c r="U168" s="57">
        <f t="shared" si="49"/>
        <v>5255000</v>
      </c>
      <c r="V168" s="57">
        <f t="shared" si="49"/>
        <v>3240000</v>
      </c>
      <c r="W168" s="57">
        <f t="shared" si="49"/>
        <v>170000</v>
      </c>
      <c r="X168" s="57">
        <f>SUM(X174:X791)+X17031</f>
        <v>99665053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71" t="s">
        <v>17</v>
      </c>
      <c r="B169" s="496" t="s">
        <v>129</v>
      </c>
      <c r="C169" s="466">
        <v>2009</v>
      </c>
      <c r="D169" s="466">
        <v>2020</v>
      </c>
      <c r="E169" s="495" t="s">
        <v>27</v>
      </c>
      <c r="F169" s="454"/>
      <c r="G169" s="485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4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71"/>
      <c r="B170" s="496"/>
      <c r="C170" s="466"/>
      <c r="D170" s="466"/>
      <c r="E170" s="495"/>
      <c r="F170" s="454"/>
      <c r="G170" s="485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4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71"/>
      <c r="B171" s="496"/>
      <c r="C171" s="466"/>
      <c r="D171" s="466"/>
      <c r="E171" s="495"/>
      <c r="F171" s="454"/>
      <c r="G171" s="485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4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71"/>
      <c r="B172" s="496"/>
      <c r="C172" s="466"/>
      <c r="D172" s="466"/>
      <c r="E172" s="495"/>
      <c r="F172" s="454"/>
      <c r="G172" s="485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4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71"/>
      <c r="B173" s="496"/>
      <c r="C173" s="466"/>
      <c r="D173" s="466"/>
      <c r="E173" s="495"/>
      <c r="F173" s="454"/>
      <c r="G173" s="485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4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71">
        <v>1</v>
      </c>
      <c r="B174" s="548" t="s">
        <v>163</v>
      </c>
      <c r="C174" s="416">
        <v>2011</v>
      </c>
      <c r="D174" s="416">
        <v>2023</v>
      </c>
      <c r="E174" s="363" t="s">
        <v>27</v>
      </c>
      <c r="F174" s="366">
        <f>X174</f>
        <v>0</v>
      </c>
      <c r="G174" s="491" t="s">
        <v>162</v>
      </c>
      <c r="H174" s="200">
        <v>6050</v>
      </c>
      <c r="I174" s="166" t="s">
        <v>28</v>
      </c>
      <c r="J174" s="164">
        <v>2194446</v>
      </c>
      <c r="K174" s="206">
        <v>0</v>
      </c>
      <c r="L174" s="263">
        <v>0</v>
      </c>
      <c r="M174" s="164"/>
      <c r="N174" s="241"/>
      <c r="O174" s="158"/>
      <c r="P174" s="158"/>
      <c r="Q174" s="186"/>
      <c r="R174" s="186"/>
      <c r="S174" s="186"/>
      <c r="T174" s="265"/>
      <c r="U174" s="186"/>
      <c r="V174" s="186"/>
      <c r="W174" s="186"/>
      <c r="X174" s="419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71"/>
      <c r="B175" s="548"/>
      <c r="C175" s="416"/>
      <c r="D175" s="416"/>
      <c r="E175" s="363"/>
      <c r="F175" s="366"/>
      <c r="G175" s="491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19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71"/>
      <c r="B176" s="548"/>
      <c r="C176" s="416"/>
      <c r="D176" s="416"/>
      <c r="E176" s="363"/>
      <c r="F176" s="366"/>
      <c r="G176" s="491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19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71"/>
      <c r="B177" s="548"/>
      <c r="C177" s="416"/>
      <c r="D177" s="416"/>
      <c r="E177" s="363"/>
      <c r="F177" s="366"/>
      <c r="G177" s="491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19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71"/>
      <c r="B178" s="548"/>
      <c r="C178" s="416"/>
      <c r="D178" s="416"/>
      <c r="E178" s="363"/>
      <c r="F178" s="366"/>
      <c r="G178" s="491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19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71">
        <v>1</v>
      </c>
      <c r="B179" s="548" t="s">
        <v>44</v>
      </c>
      <c r="C179" s="416">
        <v>2014</v>
      </c>
      <c r="D179" s="416">
        <v>2032</v>
      </c>
      <c r="E179" s="359" t="s">
        <v>259</v>
      </c>
      <c r="F179" s="357">
        <f>2094946+X179+6164</f>
        <v>3371110</v>
      </c>
      <c r="G179" s="267" t="s">
        <v>152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22500</v>
      </c>
      <c r="O179" s="164">
        <f>50000+50000</f>
        <v>100000</v>
      </c>
      <c r="P179" s="164">
        <v>137500</v>
      </c>
      <c r="Q179" s="164">
        <v>50000</v>
      </c>
      <c r="R179" s="164">
        <v>50000</v>
      </c>
      <c r="S179" s="164">
        <v>62500</v>
      </c>
      <c r="T179" s="164">
        <v>75000</v>
      </c>
      <c r="U179" s="164">
        <v>137500</v>
      </c>
      <c r="V179" s="157"/>
      <c r="W179" s="157"/>
      <c r="X179" s="356">
        <f>SUM(M183:W183)</f>
        <v>1270000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71"/>
      <c r="B180" s="548"/>
      <c r="C180" s="416"/>
      <c r="D180" s="416"/>
      <c r="E180" s="359"/>
      <c r="F180" s="357"/>
      <c r="G180" s="267" t="s">
        <v>153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22500</v>
      </c>
      <c r="O180" s="164">
        <f>50000+50000</f>
        <v>100000</v>
      </c>
      <c r="P180" s="156">
        <v>137500</v>
      </c>
      <c r="Q180" s="156">
        <v>50000</v>
      </c>
      <c r="R180" s="156">
        <v>50000</v>
      </c>
      <c r="S180" s="156">
        <v>62500</v>
      </c>
      <c r="T180" s="156">
        <v>75000</v>
      </c>
      <c r="U180" s="156">
        <v>137500</v>
      </c>
      <c r="V180" s="158"/>
      <c r="W180" s="158"/>
      <c r="X180" s="356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71"/>
      <c r="B181" s="548"/>
      <c r="C181" s="416"/>
      <c r="D181" s="416"/>
      <c r="E181" s="359"/>
      <c r="F181" s="357"/>
      <c r="G181" s="269"/>
      <c r="H181" s="170"/>
      <c r="I181" s="155" t="s">
        <v>30</v>
      </c>
      <c r="J181" s="199"/>
      <c r="K181" s="199"/>
      <c r="L181" s="199"/>
      <c r="M181" s="164"/>
      <c r="N181" s="199"/>
      <c r="O181" s="199"/>
      <c r="P181" s="186"/>
      <c r="Q181" s="186"/>
      <c r="R181" s="186"/>
      <c r="S181" s="186"/>
      <c r="T181" s="186"/>
      <c r="U181" s="186"/>
      <c r="V181" s="186"/>
      <c r="W181" s="186"/>
      <c r="X181" s="356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71"/>
      <c r="B182" s="548"/>
      <c r="C182" s="416"/>
      <c r="D182" s="416"/>
      <c r="E182" s="359"/>
      <c r="F182" s="357"/>
      <c r="G182" s="269"/>
      <c r="H182" s="170"/>
      <c r="I182" s="155" t="s">
        <v>33</v>
      </c>
      <c r="J182" s="186"/>
      <c r="K182" s="186"/>
      <c r="L182" s="186"/>
      <c r="M182" s="157"/>
      <c r="N182" s="186"/>
      <c r="O182" s="186"/>
      <c r="P182" s="186"/>
      <c r="Q182" s="186"/>
      <c r="R182" s="186"/>
      <c r="S182" s="186"/>
      <c r="T182" s="186"/>
      <c r="U182" s="186"/>
      <c r="V182" s="186"/>
      <c r="W182" s="186"/>
      <c r="X182" s="356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7.25" customHeight="1">
      <c r="A183" s="371"/>
      <c r="B183" s="548"/>
      <c r="C183" s="416"/>
      <c r="D183" s="416"/>
      <c r="E183" s="359"/>
      <c r="F183" s="357"/>
      <c r="G183" s="271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7">
        <f t="shared" si="52"/>
        <v>45000</v>
      </c>
      <c r="O183" s="217">
        <f t="shared" si="52"/>
        <v>200000</v>
      </c>
      <c r="P183" s="217">
        <f t="shared" si="52"/>
        <v>275000</v>
      </c>
      <c r="Q183" s="161">
        <f t="shared" si="52"/>
        <v>100000</v>
      </c>
      <c r="R183" s="161">
        <f t="shared" si="52"/>
        <v>100000</v>
      </c>
      <c r="S183" s="161">
        <f t="shared" si="52"/>
        <v>125000</v>
      </c>
      <c r="T183" s="161">
        <f t="shared" si="52"/>
        <v>150000</v>
      </c>
      <c r="U183" s="161">
        <f t="shared" si="52"/>
        <v>275000</v>
      </c>
      <c r="V183" s="161">
        <f t="shared" si="52"/>
        <v>0</v>
      </c>
      <c r="W183" s="161">
        <f t="shared" si="52"/>
        <v>0</v>
      </c>
      <c r="X183" s="356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71">
        <v>2</v>
      </c>
      <c r="B184" s="487" t="s">
        <v>246</v>
      </c>
      <c r="C184" s="416">
        <v>2015</v>
      </c>
      <c r="D184" s="416">
        <v>2030</v>
      </c>
      <c r="E184" s="359" t="s">
        <v>259</v>
      </c>
      <c r="F184" s="493">
        <f>1491381+X184+400000</f>
        <v>4191381</v>
      </c>
      <c r="G184" s="275" t="s">
        <v>152</v>
      </c>
      <c r="H184" s="270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164">
        <v>62500</v>
      </c>
      <c r="O184" s="164">
        <v>200000</v>
      </c>
      <c r="P184" s="164">
        <v>287500</v>
      </c>
      <c r="Q184" s="164">
        <v>200000</v>
      </c>
      <c r="R184" s="164">
        <v>200000</v>
      </c>
      <c r="S184" s="164">
        <v>200000</v>
      </c>
      <c r="T184" s="157"/>
      <c r="U184" s="157"/>
      <c r="V184" s="157"/>
      <c r="W184" s="157"/>
      <c r="X184" s="419">
        <f>SUM(M188:W188)</f>
        <v>2300000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71"/>
      <c r="B185" s="487"/>
      <c r="C185" s="416"/>
      <c r="D185" s="416"/>
      <c r="E185" s="359"/>
      <c r="F185" s="493"/>
      <c r="G185" s="274" t="s">
        <v>153</v>
      </c>
      <c r="H185" s="270">
        <v>6050</v>
      </c>
      <c r="I185" s="166" t="s">
        <v>28</v>
      </c>
      <c r="J185" s="164"/>
      <c r="K185" s="164"/>
      <c r="L185" s="164"/>
      <c r="M185" s="156"/>
      <c r="N185" s="164">
        <v>62500</v>
      </c>
      <c r="O185" s="164">
        <v>200000</v>
      </c>
      <c r="P185" s="164">
        <v>287500</v>
      </c>
      <c r="Q185" s="164">
        <v>200000</v>
      </c>
      <c r="R185" s="164">
        <v>200000</v>
      </c>
      <c r="S185" s="164">
        <v>200000</v>
      </c>
      <c r="T185" s="186"/>
      <c r="U185" s="186"/>
      <c r="V185" s="186"/>
      <c r="W185" s="186"/>
      <c r="X185" s="419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71"/>
      <c r="B186" s="487"/>
      <c r="C186" s="416"/>
      <c r="D186" s="416"/>
      <c r="E186" s="359"/>
      <c r="F186" s="493"/>
      <c r="G186" s="272"/>
      <c r="H186" s="270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19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71"/>
      <c r="B187" s="487"/>
      <c r="C187" s="416"/>
      <c r="D187" s="416"/>
      <c r="E187" s="359"/>
      <c r="F187" s="493"/>
      <c r="G187" s="272"/>
      <c r="H187" s="270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19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6.149999999999999" customHeight="1">
      <c r="A188" s="371"/>
      <c r="B188" s="487"/>
      <c r="C188" s="416"/>
      <c r="D188" s="416"/>
      <c r="E188" s="359"/>
      <c r="F188" s="493"/>
      <c r="G188" s="273"/>
      <c r="H188" s="270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125000</v>
      </c>
      <c r="O188" s="162">
        <f>SUM(O184:O187)</f>
        <v>400000</v>
      </c>
      <c r="P188" s="162">
        <f>SUM(P184:P187)</f>
        <v>575000</v>
      </c>
      <c r="Q188" s="162">
        <f>SUM(Q184:Q187)</f>
        <v>400000</v>
      </c>
      <c r="R188" s="162">
        <f>SUM(R184:R187)</f>
        <v>400000</v>
      </c>
      <c r="S188" s="162">
        <f t="shared" ref="S188:W188" si="54">SUM(S184:S187)</f>
        <v>400000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19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customHeight="1">
      <c r="A189" s="371">
        <v>3</v>
      </c>
      <c r="B189" s="374" t="s">
        <v>243</v>
      </c>
      <c r="C189" s="416">
        <v>2024</v>
      </c>
      <c r="D189" s="416">
        <v>2025</v>
      </c>
      <c r="E189" s="359" t="s">
        <v>259</v>
      </c>
      <c r="F189" s="357">
        <f>X189+20000</f>
        <v>20000</v>
      </c>
      <c r="G189" s="269" t="s">
        <v>241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6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customHeight="1">
      <c r="A190" s="371"/>
      <c r="B190" s="374"/>
      <c r="C190" s="416"/>
      <c r="D190" s="416"/>
      <c r="E190" s="359"/>
      <c r="F190" s="357"/>
      <c r="G190" s="269" t="s">
        <v>153</v>
      </c>
      <c r="H190" s="170">
        <v>6050</v>
      </c>
      <c r="I190" s="155" t="s">
        <v>31</v>
      </c>
      <c r="J190" s="209"/>
      <c r="K190" s="209"/>
      <c r="L190" s="209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6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customHeight="1">
      <c r="A191" s="371"/>
      <c r="B191" s="374"/>
      <c r="C191" s="416"/>
      <c r="D191" s="416"/>
      <c r="E191" s="359"/>
      <c r="F191" s="357"/>
      <c r="G191" s="269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6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customHeight="1">
      <c r="A192" s="371"/>
      <c r="B192" s="374"/>
      <c r="C192" s="416"/>
      <c r="D192" s="416"/>
      <c r="E192" s="359"/>
      <c r="F192" s="357"/>
      <c r="G192" s="269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6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8" customHeight="1">
      <c r="A193" s="371"/>
      <c r="B193" s="374"/>
      <c r="C193" s="416"/>
      <c r="D193" s="416"/>
      <c r="E193" s="359"/>
      <c r="F193" s="357"/>
      <c r="G193" s="269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6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71">
        <v>4</v>
      </c>
      <c r="B194" s="374" t="s">
        <v>47</v>
      </c>
      <c r="C194" s="416">
        <v>2013</v>
      </c>
      <c r="D194" s="360">
        <v>2033</v>
      </c>
      <c r="E194" s="359" t="s">
        <v>259</v>
      </c>
      <c r="F194" s="357">
        <f>3987434+X194+365936</f>
        <v>10238370</v>
      </c>
      <c r="G194" s="267" t="s">
        <v>152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164">
        <v>175000</v>
      </c>
      <c r="O194" s="164">
        <v>80000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6">
        <f>SUM(L199:W199)</f>
        <v>5885000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71"/>
      <c r="B195" s="374"/>
      <c r="C195" s="416"/>
      <c r="D195" s="360"/>
      <c r="E195" s="359"/>
      <c r="F195" s="357"/>
      <c r="G195" s="267" t="s">
        <v>153</v>
      </c>
      <c r="H195" s="165">
        <v>6060</v>
      </c>
      <c r="I195" s="166" t="s">
        <v>28</v>
      </c>
      <c r="J195" s="164"/>
      <c r="K195" s="164"/>
      <c r="L195" s="164"/>
      <c r="M195" s="164"/>
      <c r="N195" s="164">
        <v>165000</v>
      </c>
      <c r="O195" s="164">
        <v>70000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6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71"/>
      <c r="B196" s="374"/>
      <c r="C196" s="416"/>
      <c r="D196" s="360"/>
      <c r="E196" s="359"/>
      <c r="F196" s="357"/>
      <c r="G196" s="267" t="s">
        <v>152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156">
        <v>200000</v>
      </c>
      <c r="P196" s="156">
        <v>140000</v>
      </c>
      <c r="Q196" s="325">
        <v>180000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6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71"/>
      <c r="B197" s="374"/>
      <c r="C197" s="416"/>
      <c r="D197" s="360"/>
      <c r="E197" s="359"/>
      <c r="F197" s="357"/>
      <c r="G197" s="267" t="s">
        <v>153</v>
      </c>
      <c r="H197" s="165">
        <v>6060</v>
      </c>
      <c r="I197" s="166" t="s">
        <v>28</v>
      </c>
      <c r="J197" s="156"/>
      <c r="K197" s="156"/>
      <c r="L197" s="156"/>
      <c r="M197" s="156"/>
      <c r="N197" s="156">
        <v>110000</v>
      </c>
      <c r="O197" s="156">
        <f>190000+100000</f>
        <v>290000</v>
      </c>
      <c r="P197" s="156">
        <v>140000</v>
      </c>
      <c r="Q197" s="325">
        <v>190000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6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71"/>
      <c r="B198" s="374"/>
      <c r="C198" s="416"/>
      <c r="D198" s="360"/>
      <c r="E198" s="359"/>
      <c r="F198" s="357"/>
      <c r="G198" s="267" t="s">
        <v>154</v>
      </c>
      <c r="H198" s="165">
        <v>6060</v>
      </c>
      <c r="I198" s="166" t="s">
        <v>28</v>
      </c>
      <c r="J198" s="187"/>
      <c r="K198" s="187"/>
      <c r="L198" s="156"/>
      <c r="M198" s="156"/>
      <c r="N198" s="156">
        <v>60000</v>
      </c>
      <c r="O198" s="156">
        <f>220000+100000</f>
        <v>320000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6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71"/>
      <c r="B199" s="374"/>
      <c r="C199" s="416"/>
      <c r="D199" s="360"/>
      <c r="E199" s="359"/>
      <c r="F199" s="357"/>
      <c r="G199" s="266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575000</v>
      </c>
      <c r="O199" s="207">
        <f t="shared" si="58"/>
        <v>960000</v>
      </c>
      <c r="P199" s="207">
        <f t="shared" si="58"/>
        <v>730000</v>
      </c>
      <c r="Q199" s="207">
        <f t="shared" si="58"/>
        <v>820000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6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71">
        <v>5</v>
      </c>
      <c r="B200" s="374" t="s">
        <v>48</v>
      </c>
      <c r="C200" s="360">
        <v>2014</v>
      </c>
      <c r="D200" s="360">
        <v>2029</v>
      </c>
      <c r="E200" s="359" t="s">
        <v>259</v>
      </c>
      <c r="F200" s="366">
        <f>840791+X200</f>
        <v>1260791</v>
      </c>
      <c r="G200" s="266" t="s">
        <v>153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156">
        <v>100000</v>
      </c>
      <c r="O200" s="156">
        <v>75000</v>
      </c>
      <c r="P200" s="156">
        <v>100000</v>
      </c>
      <c r="Q200" s="156">
        <v>75000</v>
      </c>
      <c r="R200" s="156">
        <v>70000</v>
      </c>
      <c r="S200" s="156"/>
      <c r="T200" s="156"/>
      <c r="U200" s="156"/>
      <c r="V200" s="158"/>
      <c r="W200" s="158"/>
      <c r="X200" s="419">
        <f>SUM(M204:W204)</f>
        <v>420000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71"/>
      <c r="B201" s="374"/>
      <c r="C201" s="360"/>
      <c r="D201" s="360"/>
      <c r="E201" s="359"/>
      <c r="F201" s="366"/>
      <c r="G201" s="269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19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71"/>
      <c r="B202" s="374"/>
      <c r="C202" s="360"/>
      <c r="D202" s="360"/>
      <c r="E202" s="359"/>
      <c r="F202" s="366"/>
      <c r="G202" s="269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19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71"/>
      <c r="B203" s="374"/>
      <c r="C203" s="360"/>
      <c r="D203" s="360"/>
      <c r="E203" s="359"/>
      <c r="F203" s="366"/>
      <c r="G203" s="269"/>
      <c r="H203" s="165">
        <v>6050</v>
      </c>
      <c r="I203" s="155" t="s">
        <v>139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19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71"/>
      <c r="B204" s="374"/>
      <c r="C204" s="360"/>
      <c r="D204" s="360"/>
      <c r="E204" s="359"/>
      <c r="F204" s="366"/>
      <c r="G204" s="269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100000</v>
      </c>
      <c r="O204" s="161">
        <f>SUM(O200:O203)</f>
        <v>75000</v>
      </c>
      <c r="P204" s="161">
        <f t="shared" si="59"/>
        <v>100000</v>
      </c>
      <c r="Q204" s="161">
        <f t="shared" si="59"/>
        <v>75000</v>
      </c>
      <c r="R204" s="161">
        <f t="shared" si="59"/>
        <v>70000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19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5">
        <v>6</v>
      </c>
      <c r="B205" s="497" t="s">
        <v>257</v>
      </c>
      <c r="C205" s="389">
        <v>2025</v>
      </c>
      <c r="D205" s="389">
        <v>2026</v>
      </c>
      <c r="E205" s="359" t="s">
        <v>259</v>
      </c>
      <c r="F205" s="488">
        <f>X205</f>
        <v>200000</v>
      </c>
      <c r="G205" s="267" t="s">
        <v>154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50000</v>
      </c>
      <c r="O205" s="156">
        <v>150000</v>
      </c>
      <c r="P205" s="158"/>
      <c r="Q205" s="158"/>
      <c r="R205" s="158"/>
      <c r="S205" s="158"/>
      <c r="T205" s="158"/>
      <c r="U205" s="158"/>
      <c r="V205" s="158"/>
      <c r="W205" s="158"/>
      <c r="X205" s="419">
        <f>SUM(L209:R209)</f>
        <v>200000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6"/>
      <c r="B206" s="498"/>
      <c r="C206" s="390"/>
      <c r="D206" s="390"/>
      <c r="E206" s="359"/>
      <c r="F206" s="489"/>
      <c r="G206" s="267"/>
      <c r="H206" s="165"/>
      <c r="I206" s="155" t="s">
        <v>31</v>
      </c>
      <c r="J206" s="186"/>
      <c r="K206" s="186"/>
      <c r="L206" s="156"/>
      <c r="M206" s="186"/>
      <c r="N206" s="186"/>
      <c r="O206" s="186"/>
      <c r="P206" s="186"/>
      <c r="Q206" s="186"/>
      <c r="R206" s="186"/>
      <c r="S206" s="186"/>
      <c r="T206" s="186"/>
      <c r="U206" s="186"/>
      <c r="V206" s="186"/>
      <c r="W206" s="186"/>
      <c r="X206" s="419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6"/>
      <c r="B207" s="498"/>
      <c r="C207" s="390"/>
      <c r="D207" s="390"/>
      <c r="E207" s="359"/>
      <c r="F207" s="489"/>
      <c r="G207" s="266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19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6"/>
      <c r="B208" s="498"/>
      <c r="C208" s="390"/>
      <c r="D208" s="390"/>
      <c r="E208" s="359"/>
      <c r="F208" s="489"/>
      <c r="G208" s="266"/>
      <c r="H208" s="165"/>
      <c r="I208" s="155" t="s">
        <v>139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19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3.5" customHeight="1">
      <c r="A209" s="397"/>
      <c r="B209" s="499"/>
      <c r="C209" s="391"/>
      <c r="D209" s="391"/>
      <c r="E209" s="359"/>
      <c r="F209" s="490"/>
      <c r="G209" s="266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50000</v>
      </c>
      <c r="O209" s="161">
        <f>SUM(O205:O208)</f>
        <v>150000</v>
      </c>
      <c r="P209" s="161">
        <f t="shared" ref="P209:W209" si="61">SUM(P205:P208)</f>
        <v>0</v>
      </c>
      <c r="Q209" s="161">
        <f t="shared" si="61"/>
        <v>0</v>
      </c>
      <c r="R209" s="161">
        <f t="shared" si="61"/>
        <v>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19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5">
        <v>8</v>
      </c>
      <c r="B210" s="379" t="s">
        <v>205</v>
      </c>
      <c r="C210" s="372">
        <v>2019</v>
      </c>
      <c r="D210" s="372">
        <v>2023</v>
      </c>
      <c r="E210" s="373" t="s">
        <v>27</v>
      </c>
      <c r="F210" s="361">
        <f>X210</f>
        <v>0</v>
      </c>
      <c r="G210" s="486" t="s">
        <v>119</v>
      </c>
      <c r="H210" s="86">
        <v>6050</v>
      </c>
      <c r="I210" s="60" t="s">
        <v>28</v>
      </c>
      <c r="J210" s="214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84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6"/>
      <c r="B211" s="379"/>
      <c r="C211" s="372"/>
      <c r="D211" s="372"/>
      <c r="E211" s="373"/>
      <c r="F211" s="361"/>
      <c r="G211" s="486"/>
      <c r="H211" s="86"/>
      <c r="I211" s="60" t="s">
        <v>102</v>
      </c>
      <c r="J211" s="215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84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6"/>
      <c r="B212" s="379"/>
      <c r="C212" s="372"/>
      <c r="D212" s="372"/>
      <c r="E212" s="373"/>
      <c r="F212" s="361"/>
      <c r="G212" s="486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84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6"/>
      <c r="B213" s="379"/>
      <c r="C213" s="372"/>
      <c r="D213" s="372"/>
      <c r="E213" s="373"/>
      <c r="F213" s="361"/>
      <c r="G213" s="486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84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7"/>
      <c r="B214" s="379"/>
      <c r="C214" s="372"/>
      <c r="D214" s="372"/>
      <c r="E214" s="373"/>
      <c r="F214" s="361"/>
      <c r="G214" s="486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84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5">
        <v>5</v>
      </c>
      <c r="B215" s="379" t="s">
        <v>206</v>
      </c>
      <c r="C215" s="372">
        <v>2022</v>
      </c>
      <c r="D215" s="372">
        <v>2023</v>
      </c>
      <c r="E215" s="373" t="s">
        <v>27</v>
      </c>
      <c r="F215" s="361">
        <f>X215</f>
        <v>0</v>
      </c>
      <c r="G215" s="486" t="s">
        <v>119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84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6"/>
      <c r="B216" s="379"/>
      <c r="C216" s="372"/>
      <c r="D216" s="372"/>
      <c r="E216" s="373"/>
      <c r="F216" s="361"/>
      <c r="G216" s="486"/>
      <c r="H216" s="86"/>
      <c r="I216" s="61" t="s">
        <v>102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84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6"/>
      <c r="B217" s="379"/>
      <c r="C217" s="372"/>
      <c r="D217" s="372"/>
      <c r="E217" s="373"/>
      <c r="F217" s="361"/>
      <c r="G217" s="486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84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6"/>
      <c r="B218" s="379"/>
      <c r="C218" s="372"/>
      <c r="D218" s="372"/>
      <c r="E218" s="373"/>
      <c r="F218" s="361"/>
      <c r="G218" s="486"/>
      <c r="H218" s="86">
        <v>6050</v>
      </c>
      <c r="I218" s="61" t="s">
        <v>179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84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7"/>
      <c r="B219" s="379"/>
      <c r="C219" s="372"/>
      <c r="D219" s="372"/>
      <c r="E219" s="373"/>
      <c r="F219" s="361"/>
      <c r="G219" s="486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84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71">
        <v>9</v>
      </c>
      <c r="B220" s="508" t="s">
        <v>155</v>
      </c>
      <c r="C220" s="466">
        <v>2018</v>
      </c>
      <c r="D220" s="449">
        <v>2021</v>
      </c>
      <c r="E220" s="470" t="s">
        <v>27</v>
      </c>
      <c r="F220" s="355">
        <v>0</v>
      </c>
      <c r="G220" s="494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68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71"/>
      <c r="B221" s="508"/>
      <c r="C221" s="466"/>
      <c r="D221" s="449"/>
      <c r="E221" s="470"/>
      <c r="F221" s="355"/>
      <c r="G221" s="494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68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71"/>
      <c r="B222" s="508"/>
      <c r="C222" s="466"/>
      <c r="D222" s="449"/>
      <c r="E222" s="470"/>
      <c r="F222" s="355"/>
      <c r="G222" s="494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68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71"/>
      <c r="B223" s="508"/>
      <c r="C223" s="466"/>
      <c r="D223" s="449"/>
      <c r="E223" s="470"/>
      <c r="F223" s="355"/>
      <c r="G223" s="494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68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71"/>
      <c r="B224" s="508"/>
      <c r="C224" s="466"/>
      <c r="D224" s="449"/>
      <c r="E224" s="470"/>
      <c r="F224" s="355"/>
      <c r="G224" s="494"/>
      <c r="H224" s="91"/>
      <c r="I224" s="92" t="s">
        <v>103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68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71"/>
      <c r="B225" s="508"/>
      <c r="C225" s="466"/>
      <c r="D225" s="449"/>
      <c r="E225" s="470"/>
      <c r="F225" s="355"/>
      <c r="G225" s="494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68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71">
        <v>9</v>
      </c>
      <c r="B226" s="379" t="s">
        <v>78</v>
      </c>
      <c r="C226" s="466">
        <v>2016</v>
      </c>
      <c r="D226" s="466">
        <v>2019</v>
      </c>
      <c r="E226" s="500" t="s">
        <v>27</v>
      </c>
      <c r="F226" s="454">
        <v>0</v>
      </c>
      <c r="G226" s="455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68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71"/>
      <c r="B227" s="379"/>
      <c r="C227" s="466"/>
      <c r="D227" s="466"/>
      <c r="E227" s="500"/>
      <c r="F227" s="454"/>
      <c r="G227" s="455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68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71"/>
      <c r="B228" s="379"/>
      <c r="C228" s="466"/>
      <c r="D228" s="466"/>
      <c r="E228" s="500"/>
      <c r="F228" s="454"/>
      <c r="G228" s="455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68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71"/>
      <c r="B229" s="379"/>
      <c r="C229" s="466"/>
      <c r="D229" s="466"/>
      <c r="E229" s="500"/>
      <c r="F229" s="454"/>
      <c r="G229" s="455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68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71"/>
      <c r="B230" s="379"/>
      <c r="C230" s="466"/>
      <c r="D230" s="466"/>
      <c r="E230" s="500"/>
      <c r="F230" s="454"/>
      <c r="G230" s="455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68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71">
        <v>10</v>
      </c>
      <c r="B231" s="379" t="s">
        <v>108</v>
      </c>
      <c r="C231" s="449">
        <v>2019</v>
      </c>
      <c r="D231" s="449">
        <v>2020</v>
      </c>
      <c r="E231" s="470" t="s">
        <v>27</v>
      </c>
      <c r="F231" s="482"/>
      <c r="G231" s="473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5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71"/>
      <c r="B232" s="379"/>
      <c r="C232" s="449"/>
      <c r="D232" s="449"/>
      <c r="E232" s="470"/>
      <c r="F232" s="482"/>
      <c r="G232" s="473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5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71"/>
      <c r="B233" s="379"/>
      <c r="C233" s="449"/>
      <c r="D233" s="449"/>
      <c r="E233" s="470"/>
      <c r="F233" s="482"/>
      <c r="G233" s="473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5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71"/>
      <c r="B234" s="379"/>
      <c r="C234" s="449"/>
      <c r="D234" s="449"/>
      <c r="E234" s="470"/>
      <c r="F234" s="482"/>
      <c r="G234" s="473"/>
      <c r="H234" s="91"/>
      <c r="I234" s="97" t="s">
        <v>79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5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71"/>
      <c r="B235" s="379"/>
      <c r="C235" s="449"/>
      <c r="D235" s="449"/>
      <c r="E235" s="470"/>
      <c r="F235" s="482"/>
      <c r="G235" s="473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5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5">
        <v>6</v>
      </c>
      <c r="B236" s="433" t="s">
        <v>200</v>
      </c>
      <c r="C236" s="389">
        <v>2022</v>
      </c>
      <c r="D236" s="389">
        <v>2023</v>
      </c>
      <c r="E236" s="359" t="s">
        <v>27</v>
      </c>
      <c r="F236" s="488">
        <f>0+X236</f>
        <v>0</v>
      </c>
      <c r="G236" s="267" t="s">
        <v>152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19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6"/>
      <c r="B237" s="434"/>
      <c r="C237" s="390"/>
      <c r="D237" s="390"/>
      <c r="E237" s="359"/>
      <c r="F237" s="489"/>
      <c r="G237" s="267" t="s">
        <v>153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19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6"/>
      <c r="B238" s="434"/>
      <c r="C238" s="390"/>
      <c r="D238" s="390"/>
      <c r="E238" s="359"/>
      <c r="F238" s="489"/>
      <c r="G238" s="267"/>
      <c r="H238" s="165"/>
      <c r="I238" s="166" t="s">
        <v>178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19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6"/>
      <c r="B239" s="434"/>
      <c r="C239" s="390"/>
      <c r="D239" s="390"/>
      <c r="E239" s="359"/>
      <c r="F239" s="489"/>
      <c r="G239" s="267" t="s">
        <v>153</v>
      </c>
      <c r="H239" s="165">
        <v>6370</v>
      </c>
      <c r="I239" s="166" t="s">
        <v>178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19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7"/>
      <c r="B240" s="435"/>
      <c r="C240" s="391"/>
      <c r="D240" s="391"/>
      <c r="E240" s="359"/>
      <c r="F240" s="490"/>
      <c r="G240" s="267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19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71">
        <v>5</v>
      </c>
      <c r="B241" s="379"/>
      <c r="C241" s="416">
        <v>2007</v>
      </c>
      <c r="D241" s="416">
        <v>2026</v>
      </c>
      <c r="E241" s="363" t="s">
        <v>27</v>
      </c>
      <c r="F241" s="357">
        <f>X241</f>
        <v>0</v>
      </c>
      <c r="G241" s="491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5"/>
      <c r="Q241" s="185"/>
      <c r="R241" s="185"/>
      <c r="S241" s="185"/>
      <c r="T241" s="185"/>
      <c r="U241" s="185"/>
      <c r="V241" s="185"/>
      <c r="W241" s="185"/>
      <c r="X241" s="356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71"/>
      <c r="B242" s="379"/>
      <c r="C242" s="416"/>
      <c r="D242" s="416"/>
      <c r="E242" s="363"/>
      <c r="F242" s="357"/>
      <c r="G242" s="491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6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71"/>
      <c r="B243" s="379"/>
      <c r="C243" s="416"/>
      <c r="D243" s="416"/>
      <c r="E243" s="363"/>
      <c r="F243" s="357"/>
      <c r="G243" s="491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6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71"/>
      <c r="B244" s="379"/>
      <c r="C244" s="416"/>
      <c r="D244" s="416"/>
      <c r="E244" s="363"/>
      <c r="F244" s="357"/>
      <c r="G244" s="491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6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71"/>
      <c r="B245" s="379"/>
      <c r="C245" s="416"/>
      <c r="D245" s="416"/>
      <c r="E245" s="363"/>
      <c r="F245" s="357"/>
      <c r="G245" s="491"/>
      <c r="H245" s="170"/>
      <c r="I245" s="216" t="s">
        <v>26</v>
      </c>
      <c r="J245" s="217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6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71">
        <v>7</v>
      </c>
      <c r="B246" s="375" t="s">
        <v>213</v>
      </c>
      <c r="C246" s="416">
        <v>2021</v>
      </c>
      <c r="D246" s="416">
        <v>2030</v>
      </c>
      <c r="E246" s="359" t="s">
        <v>259</v>
      </c>
      <c r="F246" s="357">
        <f>36440+X246</f>
        <v>2336440</v>
      </c>
      <c r="G246" s="358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8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9"/>
      <c r="V246" s="209"/>
      <c r="W246" s="209"/>
      <c r="X246" s="356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71"/>
      <c r="B247" s="375"/>
      <c r="C247" s="416"/>
      <c r="D247" s="416"/>
      <c r="E247" s="359"/>
      <c r="F247" s="357"/>
      <c r="G247" s="358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6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71"/>
      <c r="B248" s="375"/>
      <c r="C248" s="416"/>
      <c r="D248" s="416"/>
      <c r="E248" s="359"/>
      <c r="F248" s="357"/>
      <c r="G248" s="358"/>
      <c r="H248" s="170"/>
      <c r="I248" s="155" t="s">
        <v>30</v>
      </c>
      <c r="J248" s="209"/>
      <c r="K248" s="209"/>
      <c r="L248" s="209"/>
      <c r="M248" s="209"/>
      <c r="N248" s="209"/>
      <c r="O248" s="209"/>
      <c r="P248" s="209"/>
      <c r="Q248" s="209"/>
      <c r="R248" s="157"/>
      <c r="S248" s="157"/>
      <c r="T248" s="209"/>
      <c r="U248" s="209"/>
      <c r="V248" s="209"/>
      <c r="W248" s="209"/>
      <c r="X248" s="356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71"/>
      <c r="B249" s="375"/>
      <c r="C249" s="416"/>
      <c r="D249" s="416"/>
      <c r="E249" s="359"/>
      <c r="F249" s="357"/>
      <c r="G249" s="358"/>
      <c r="H249" s="170"/>
      <c r="I249" s="155" t="s">
        <v>79</v>
      </c>
      <c r="J249" s="209"/>
      <c r="K249" s="209"/>
      <c r="L249" s="209"/>
      <c r="M249" s="209"/>
      <c r="N249" s="218"/>
      <c r="O249" s="218"/>
      <c r="P249" s="218"/>
      <c r="Q249" s="218"/>
      <c r="R249" s="167"/>
      <c r="S249" s="167"/>
      <c r="T249" s="218"/>
      <c r="U249" s="218"/>
      <c r="V249" s="218"/>
      <c r="W249" s="218"/>
      <c r="X249" s="356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71"/>
      <c r="B250" s="375"/>
      <c r="C250" s="416"/>
      <c r="D250" s="416"/>
      <c r="E250" s="359"/>
      <c r="F250" s="357"/>
      <c r="G250" s="358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6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71">
        <v>8</v>
      </c>
      <c r="B251" s="375" t="s">
        <v>210</v>
      </c>
      <c r="C251" s="416">
        <v>2023</v>
      </c>
      <c r="D251" s="446">
        <v>2025</v>
      </c>
      <c r="E251" s="359" t="s">
        <v>259</v>
      </c>
      <c r="F251" s="357">
        <f>X251+57825</f>
        <v>1619832</v>
      </c>
      <c r="G251" s="358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4"/>
      <c r="N251" s="157">
        <v>0</v>
      </c>
      <c r="O251" s="241"/>
      <c r="P251" s="164"/>
      <c r="Q251" s="157"/>
      <c r="R251" s="157"/>
      <c r="S251" s="157"/>
      <c r="T251" s="157"/>
      <c r="U251" s="157"/>
      <c r="V251" s="157"/>
      <c r="W251" s="157"/>
      <c r="X251" s="356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71"/>
      <c r="B252" s="375"/>
      <c r="C252" s="416"/>
      <c r="D252" s="446"/>
      <c r="E252" s="359"/>
      <c r="F252" s="357"/>
      <c r="G252" s="358"/>
      <c r="H252" s="170">
        <v>6370</v>
      </c>
      <c r="I252" s="155" t="s">
        <v>178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6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71"/>
      <c r="B253" s="375"/>
      <c r="C253" s="416"/>
      <c r="D253" s="446"/>
      <c r="E253" s="359"/>
      <c r="F253" s="357"/>
      <c r="G253" s="358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6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71"/>
      <c r="B254" s="375"/>
      <c r="C254" s="416"/>
      <c r="D254" s="446"/>
      <c r="E254" s="359"/>
      <c r="F254" s="357"/>
      <c r="G254" s="358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6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71"/>
      <c r="B255" s="375"/>
      <c r="C255" s="416"/>
      <c r="D255" s="446"/>
      <c r="E255" s="359"/>
      <c r="F255" s="357"/>
      <c r="G255" s="358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6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71">
        <v>9</v>
      </c>
      <c r="B256" s="375" t="s">
        <v>212</v>
      </c>
      <c r="C256" s="416">
        <v>2024</v>
      </c>
      <c r="D256" s="416">
        <v>2027</v>
      </c>
      <c r="E256" s="359" t="s">
        <v>259</v>
      </c>
      <c r="F256" s="357">
        <f>X256</f>
        <v>835000</v>
      </c>
      <c r="G256" s="358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35000</v>
      </c>
      <c r="O256" s="164">
        <v>100000</v>
      </c>
      <c r="P256" s="164">
        <v>700000</v>
      </c>
      <c r="Q256" s="157"/>
      <c r="R256" s="157"/>
      <c r="S256" s="157"/>
      <c r="T256" s="157"/>
      <c r="U256" s="157"/>
      <c r="V256" s="157"/>
      <c r="W256" s="157"/>
      <c r="X256" s="356">
        <f>SUM(L260:W260)</f>
        <v>835000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71"/>
      <c r="B257" s="375"/>
      <c r="C257" s="416"/>
      <c r="D257" s="416"/>
      <c r="E257" s="359"/>
      <c r="F257" s="357"/>
      <c r="G257" s="358"/>
      <c r="H257" s="170"/>
      <c r="I257" s="155" t="s">
        <v>31</v>
      </c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  <c r="U257" s="158"/>
      <c r="V257" s="158"/>
      <c r="W257" s="158"/>
      <c r="X257" s="356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71"/>
      <c r="B258" s="375"/>
      <c r="C258" s="416"/>
      <c r="D258" s="416"/>
      <c r="E258" s="359"/>
      <c r="F258" s="357"/>
      <c r="G258" s="358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6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71"/>
      <c r="B259" s="375"/>
      <c r="C259" s="416"/>
      <c r="D259" s="416"/>
      <c r="E259" s="359"/>
      <c r="F259" s="357"/>
      <c r="G259" s="358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6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5" customHeight="1">
      <c r="A260" s="371"/>
      <c r="B260" s="375"/>
      <c r="C260" s="416"/>
      <c r="D260" s="416"/>
      <c r="E260" s="359"/>
      <c r="F260" s="357"/>
      <c r="G260" s="358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35000</v>
      </c>
      <c r="O260" s="162">
        <f>SUM(O256:O259)</f>
        <v>100000</v>
      </c>
      <c r="P260" s="162">
        <f>SUM(P256:P259)</f>
        <v>700000</v>
      </c>
      <c r="Q260" s="162"/>
      <c r="R260" s="162"/>
      <c r="S260" s="162"/>
      <c r="T260" s="162"/>
      <c r="U260" s="162"/>
      <c r="V260" s="162"/>
      <c r="W260" s="162"/>
      <c r="X260" s="356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71">
        <v>10</v>
      </c>
      <c r="B261" s="510" t="s">
        <v>231</v>
      </c>
      <c r="C261" s="446">
        <v>2008</v>
      </c>
      <c r="D261" s="360">
        <v>2032</v>
      </c>
      <c r="E261" s="359" t="s">
        <v>259</v>
      </c>
      <c r="F261" s="357">
        <f>3664266+X261</f>
        <v>4274266</v>
      </c>
      <c r="G261" s="358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188">
        <v>260000</v>
      </c>
      <c r="U261" s="188">
        <v>350000</v>
      </c>
      <c r="V261" s="188"/>
      <c r="W261" s="188"/>
      <c r="X261" s="356">
        <f>SUM(L265:W265)</f>
        <v>610000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71"/>
      <c r="B262" s="510"/>
      <c r="C262" s="446"/>
      <c r="D262" s="360"/>
      <c r="E262" s="359"/>
      <c r="F262" s="357"/>
      <c r="G262" s="358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6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71"/>
      <c r="B263" s="510"/>
      <c r="C263" s="446"/>
      <c r="D263" s="360"/>
      <c r="E263" s="359"/>
      <c r="F263" s="357"/>
      <c r="G263" s="358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9"/>
      <c r="Q263" s="219"/>
      <c r="R263" s="219"/>
      <c r="S263" s="219"/>
      <c r="T263" s="219"/>
      <c r="U263" s="219"/>
      <c r="V263" s="219"/>
      <c r="W263" s="219"/>
      <c r="X263" s="356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71"/>
      <c r="B264" s="510"/>
      <c r="C264" s="446"/>
      <c r="D264" s="360"/>
      <c r="E264" s="359"/>
      <c r="F264" s="357"/>
      <c r="G264" s="358"/>
      <c r="H264" s="154"/>
      <c r="I264" s="166" t="s">
        <v>121</v>
      </c>
      <c r="J264" s="156"/>
      <c r="K264" s="156"/>
      <c r="L264" s="156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356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8.75" customHeight="1">
      <c r="A265" s="371"/>
      <c r="B265" s="510"/>
      <c r="C265" s="446"/>
      <c r="D265" s="360"/>
      <c r="E265" s="359"/>
      <c r="F265" s="357"/>
      <c r="G265" s="358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20">
        <f t="shared" si="75"/>
        <v>0</v>
      </c>
      <c r="N265" s="161">
        <f t="shared" si="75"/>
        <v>0</v>
      </c>
      <c r="O265" s="220">
        <f>SUM(O261:O264)</f>
        <v>0</v>
      </c>
      <c r="P265" s="220">
        <f t="shared" si="75"/>
        <v>0</v>
      </c>
      <c r="Q265" s="220">
        <f t="shared" si="75"/>
        <v>0</v>
      </c>
      <c r="R265" s="220">
        <f t="shared" si="75"/>
        <v>0</v>
      </c>
      <c r="S265" s="220">
        <f t="shared" si="75"/>
        <v>0</v>
      </c>
      <c r="T265" s="220">
        <f t="shared" si="75"/>
        <v>260000</v>
      </c>
      <c r="U265" s="220">
        <f t="shared" si="75"/>
        <v>350000</v>
      </c>
      <c r="V265" s="220">
        <f t="shared" si="75"/>
        <v>0</v>
      </c>
      <c r="W265" s="220">
        <f t="shared" si="75"/>
        <v>0</v>
      </c>
      <c r="X265" s="356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4">
        <v>11</v>
      </c>
      <c r="B266" s="375" t="s">
        <v>232</v>
      </c>
      <c r="C266" s="446">
        <v>2014</v>
      </c>
      <c r="D266" s="416">
        <v>2031</v>
      </c>
      <c r="E266" s="359" t="s">
        <v>259</v>
      </c>
      <c r="F266" s="357">
        <f>360877+X266</f>
        <v>2860877</v>
      </c>
      <c r="G266" s="504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4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6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4"/>
      <c r="B267" s="375"/>
      <c r="C267" s="446"/>
      <c r="D267" s="416"/>
      <c r="E267" s="359"/>
      <c r="F267" s="357"/>
      <c r="G267" s="504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6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4"/>
      <c r="B268" s="375"/>
      <c r="C268" s="446"/>
      <c r="D268" s="416"/>
      <c r="E268" s="359"/>
      <c r="F268" s="357"/>
      <c r="G268" s="504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6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4"/>
      <c r="B269" s="375"/>
      <c r="C269" s="446"/>
      <c r="D269" s="416"/>
      <c r="E269" s="359"/>
      <c r="F269" s="357"/>
      <c r="G269" s="504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6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5" customHeight="1">
      <c r="A270" s="404"/>
      <c r="B270" s="375"/>
      <c r="C270" s="446"/>
      <c r="D270" s="416"/>
      <c r="E270" s="359"/>
      <c r="F270" s="357"/>
      <c r="G270" s="504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6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04">
        <v>12</v>
      </c>
      <c r="B271" s="375" t="s">
        <v>51</v>
      </c>
      <c r="C271" s="416">
        <v>2014</v>
      </c>
      <c r="D271" s="416">
        <v>2030</v>
      </c>
      <c r="E271" s="359" t="s">
        <v>259</v>
      </c>
      <c r="F271" s="366">
        <f>206810+X271</f>
        <v>1306810</v>
      </c>
      <c r="G271" s="358">
        <v>60016</v>
      </c>
      <c r="H271" s="170">
        <v>6050</v>
      </c>
      <c r="I271" s="155" t="s">
        <v>28</v>
      </c>
      <c r="J271" s="157"/>
      <c r="K271" s="167"/>
      <c r="L271" s="243"/>
      <c r="M271" s="221">
        <v>0</v>
      </c>
      <c r="N271" s="243"/>
      <c r="O271" s="243">
        <v>0</v>
      </c>
      <c r="P271" s="243">
        <v>300000</v>
      </c>
      <c r="Q271" s="243">
        <v>400000</v>
      </c>
      <c r="R271" s="243">
        <v>150000</v>
      </c>
      <c r="S271" s="243">
        <v>250000</v>
      </c>
      <c r="T271" s="167"/>
      <c r="U271" s="167"/>
      <c r="V271" s="167"/>
      <c r="W271" s="167"/>
      <c r="X271" s="356">
        <f>SUM(L275:W275)</f>
        <v>1100000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04"/>
      <c r="B272" s="375"/>
      <c r="C272" s="416"/>
      <c r="D272" s="416"/>
      <c r="E272" s="359"/>
      <c r="F272" s="366"/>
      <c r="G272" s="358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6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404"/>
      <c r="B273" s="375"/>
      <c r="C273" s="416"/>
      <c r="D273" s="416"/>
      <c r="E273" s="359"/>
      <c r="F273" s="366"/>
      <c r="G273" s="358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6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12.75" customHeight="1">
      <c r="A274" s="404"/>
      <c r="B274" s="375"/>
      <c r="C274" s="416"/>
      <c r="D274" s="416"/>
      <c r="E274" s="359"/>
      <c r="F274" s="366"/>
      <c r="G274" s="358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6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404"/>
      <c r="B275" s="375"/>
      <c r="C275" s="416"/>
      <c r="D275" s="416"/>
      <c r="E275" s="359"/>
      <c r="F275" s="366"/>
      <c r="G275" s="358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300000</v>
      </c>
      <c r="Q275" s="162">
        <f t="shared" si="79"/>
        <v>400000</v>
      </c>
      <c r="R275" s="162">
        <f t="shared" si="79"/>
        <v>150000</v>
      </c>
      <c r="S275" s="162">
        <f t="shared" si="79"/>
        <v>250000</v>
      </c>
      <c r="T275" s="162"/>
      <c r="U275" s="162"/>
      <c r="V275" s="162"/>
      <c r="W275" s="162"/>
      <c r="X275" s="356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71">
        <v>13</v>
      </c>
      <c r="B276" s="374" t="s">
        <v>147</v>
      </c>
      <c r="C276" s="416">
        <v>2024</v>
      </c>
      <c r="D276" s="416">
        <v>2032</v>
      </c>
      <c r="E276" s="359" t="s">
        <v>259</v>
      </c>
      <c r="F276" s="357">
        <f>X276</f>
        <v>750000</v>
      </c>
      <c r="G276" s="358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164"/>
      <c r="S276" s="164">
        <v>50000</v>
      </c>
      <c r="T276" s="164">
        <v>350000</v>
      </c>
      <c r="U276" s="164">
        <v>350000</v>
      </c>
      <c r="V276" s="157"/>
      <c r="W276" s="157"/>
      <c r="X276" s="356">
        <f>SUM(L280:W280)</f>
        <v>750000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71"/>
      <c r="B277" s="374"/>
      <c r="C277" s="416"/>
      <c r="D277" s="416"/>
      <c r="E277" s="359"/>
      <c r="F277" s="357"/>
      <c r="G277" s="358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6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71"/>
      <c r="B278" s="374"/>
      <c r="C278" s="416"/>
      <c r="D278" s="416"/>
      <c r="E278" s="359"/>
      <c r="F278" s="357"/>
      <c r="G278" s="358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6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71"/>
      <c r="B279" s="374"/>
      <c r="C279" s="416"/>
      <c r="D279" s="416"/>
      <c r="E279" s="359"/>
      <c r="F279" s="357"/>
      <c r="G279" s="358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6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71"/>
      <c r="B280" s="374"/>
      <c r="C280" s="416"/>
      <c r="D280" s="416"/>
      <c r="E280" s="359"/>
      <c r="F280" s="357"/>
      <c r="G280" s="358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0</v>
      </c>
      <c r="S280" s="162">
        <f t="shared" si="81"/>
        <v>50000</v>
      </c>
      <c r="T280" s="162">
        <f t="shared" si="81"/>
        <v>350000</v>
      </c>
      <c r="U280" s="162">
        <f t="shared" si="81"/>
        <v>350000</v>
      </c>
      <c r="V280" s="162">
        <f t="shared" si="81"/>
        <v>0</v>
      </c>
      <c r="W280" s="162">
        <f t="shared" si="81"/>
        <v>0</v>
      </c>
      <c r="X280" s="356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71">
        <v>11</v>
      </c>
      <c r="B281" s="379" t="s">
        <v>183</v>
      </c>
      <c r="C281" s="416">
        <v>2022</v>
      </c>
      <c r="D281" s="416">
        <v>2026</v>
      </c>
      <c r="E281" s="363" t="s">
        <v>27</v>
      </c>
      <c r="F281" s="357">
        <f>X281</f>
        <v>0</v>
      </c>
      <c r="G281" s="358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6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71"/>
      <c r="B282" s="379"/>
      <c r="C282" s="416"/>
      <c r="D282" s="416"/>
      <c r="E282" s="363"/>
      <c r="F282" s="357"/>
      <c r="G282" s="358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6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71"/>
      <c r="B283" s="379"/>
      <c r="C283" s="416"/>
      <c r="D283" s="416"/>
      <c r="E283" s="363"/>
      <c r="F283" s="357"/>
      <c r="G283" s="358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6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71"/>
      <c r="B284" s="379"/>
      <c r="C284" s="416"/>
      <c r="D284" s="416"/>
      <c r="E284" s="363"/>
      <c r="F284" s="357"/>
      <c r="G284" s="358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6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71"/>
      <c r="B285" s="379"/>
      <c r="C285" s="416"/>
      <c r="D285" s="416"/>
      <c r="E285" s="363"/>
      <c r="F285" s="357"/>
      <c r="G285" s="358"/>
      <c r="H285" s="170"/>
      <c r="I285" s="222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6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71">
        <v>14</v>
      </c>
      <c r="B286" s="375" t="s">
        <v>53</v>
      </c>
      <c r="C286" s="416">
        <v>2014</v>
      </c>
      <c r="D286" s="416">
        <v>2033</v>
      </c>
      <c r="E286" s="359" t="s">
        <v>259</v>
      </c>
      <c r="F286" s="357">
        <f>371212+X286</f>
        <v>921212</v>
      </c>
      <c r="G286" s="358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164">
        <v>200000</v>
      </c>
      <c r="V286" s="164">
        <v>350000</v>
      </c>
      <c r="W286" s="157"/>
      <c r="X286" s="356">
        <f>SUM(L290:W290)</f>
        <v>550000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71"/>
      <c r="B287" s="375"/>
      <c r="C287" s="416"/>
      <c r="D287" s="416"/>
      <c r="E287" s="359"/>
      <c r="F287" s="357"/>
      <c r="G287" s="358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6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71"/>
      <c r="B288" s="375"/>
      <c r="C288" s="416"/>
      <c r="D288" s="416"/>
      <c r="E288" s="359"/>
      <c r="F288" s="357"/>
      <c r="G288" s="358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6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71"/>
      <c r="B289" s="375"/>
      <c r="C289" s="416"/>
      <c r="D289" s="416"/>
      <c r="E289" s="359"/>
      <c r="F289" s="357"/>
      <c r="G289" s="358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6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71"/>
      <c r="B290" s="375"/>
      <c r="C290" s="416"/>
      <c r="D290" s="416"/>
      <c r="E290" s="359"/>
      <c r="F290" s="357"/>
      <c r="G290" s="358"/>
      <c r="H290" s="170"/>
      <c r="I290" s="222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200000</v>
      </c>
      <c r="V290" s="161">
        <f t="shared" si="85"/>
        <v>350000</v>
      </c>
      <c r="W290" s="161">
        <f t="shared" si="85"/>
        <v>0</v>
      </c>
      <c r="X290" s="356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71">
        <v>15</v>
      </c>
      <c r="B291" s="375" t="s">
        <v>54</v>
      </c>
      <c r="C291" s="416">
        <v>2014</v>
      </c>
      <c r="D291" s="416">
        <v>2032</v>
      </c>
      <c r="E291" s="359" t="s">
        <v>259</v>
      </c>
      <c r="F291" s="357">
        <f>47281+X291</f>
        <v>847281</v>
      </c>
      <c r="G291" s="358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164">
        <v>0</v>
      </c>
      <c r="R291" s="164">
        <v>0</v>
      </c>
      <c r="S291" s="164">
        <v>0</v>
      </c>
      <c r="T291" s="164">
        <v>300000</v>
      </c>
      <c r="U291" s="164">
        <v>500000</v>
      </c>
      <c r="V291" s="157"/>
      <c r="W291" s="157"/>
      <c r="X291" s="356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71"/>
      <c r="B292" s="375"/>
      <c r="C292" s="416"/>
      <c r="D292" s="416"/>
      <c r="E292" s="359"/>
      <c r="F292" s="357"/>
      <c r="G292" s="358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6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71"/>
      <c r="B293" s="375"/>
      <c r="C293" s="416"/>
      <c r="D293" s="416"/>
      <c r="E293" s="359"/>
      <c r="F293" s="357"/>
      <c r="G293" s="358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6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71"/>
      <c r="B294" s="375"/>
      <c r="C294" s="416"/>
      <c r="D294" s="416"/>
      <c r="E294" s="359"/>
      <c r="F294" s="357"/>
      <c r="G294" s="358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6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71"/>
      <c r="B295" s="375"/>
      <c r="C295" s="416"/>
      <c r="D295" s="416"/>
      <c r="E295" s="359"/>
      <c r="F295" s="357"/>
      <c r="G295" s="358"/>
      <c r="H295" s="170"/>
      <c r="I295" s="222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300000</v>
      </c>
      <c r="U295" s="162">
        <f t="shared" ref="U295" si="89">SUM(U291:U294)</f>
        <v>500000</v>
      </c>
      <c r="V295" s="162">
        <f t="shared" ref="V295" si="90">SUM(V291:V294)</f>
        <v>0</v>
      </c>
      <c r="W295" s="162">
        <f t="shared" ref="W295" si="91">SUM(W291:W294)</f>
        <v>0</v>
      </c>
      <c r="X295" s="356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71">
        <v>16</v>
      </c>
      <c r="B296" s="375" t="s">
        <v>239</v>
      </c>
      <c r="C296" s="416">
        <v>2015</v>
      </c>
      <c r="D296" s="360">
        <v>2026</v>
      </c>
      <c r="E296" s="359" t="s">
        <v>259</v>
      </c>
      <c r="F296" s="357">
        <f>634131+X296+35000</f>
        <v>6736802</v>
      </c>
      <c r="G296" s="501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40">
        <v>240000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6">
        <f>SUM(L300:W300)</f>
        <v>6067671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71"/>
      <c r="B297" s="375"/>
      <c r="C297" s="416"/>
      <c r="D297" s="360"/>
      <c r="E297" s="359"/>
      <c r="F297" s="357"/>
      <c r="G297" s="502"/>
      <c r="H297" s="170">
        <v>6050</v>
      </c>
      <c r="I297" s="155" t="s">
        <v>31</v>
      </c>
      <c r="J297" s="164"/>
      <c r="K297" s="156"/>
      <c r="L297" s="156"/>
      <c r="M297" s="324"/>
      <c r="N297" s="341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6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71"/>
      <c r="B298" s="375"/>
      <c r="C298" s="416"/>
      <c r="D298" s="360"/>
      <c r="E298" s="359"/>
      <c r="F298" s="357"/>
      <c r="G298" s="502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6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71"/>
      <c r="B299" s="375"/>
      <c r="C299" s="416"/>
      <c r="D299" s="360"/>
      <c r="E299" s="359"/>
      <c r="F299" s="357"/>
      <c r="G299" s="502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56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4.25" customHeight="1">
      <c r="A300" s="371"/>
      <c r="B300" s="375"/>
      <c r="C300" s="416"/>
      <c r="D300" s="360"/>
      <c r="E300" s="359"/>
      <c r="F300" s="357"/>
      <c r="G300" s="503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6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71">
        <v>17</v>
      </c>
      <c r="B301" s="375" t="s">
        <v>56</v>
      </c>
      <c r="C301" s="407">
        <v>2015</v>
      </c>
      <c r="D301" s="372">
        <v>2033</v>
      </c>
      <c r="E301" s="359" t="s">
        <v>259</v>
      </c>
      <c r="F301" s="398">
        <f>1489972+132269+X301+243200</f>
        <v>17157441</v>
      </c>
      <c r="G301" s="394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6"/>
      <c r="N301" s="87">
        <v>292000</v>
      </c>
      <c r="O301" s="87">
        <f>1000000+300000</f>
        <v>1300000</v>
      </c>
      <c r="P301" s="87">
        <v>1300000</v>
      </c>
      <c r="Q301" s="326">
        <v>2400000</v>
      </c>
      <c r="R301" s="87">
        <v>2000000</v>
      </c>
      <c r="S301" s="87">
        <v>2000000</v>
      </c>
      <c r="T301" s="87">
        <v>2000000</v>
      </c>
      <c r="U301" s="87">
        <v>2000000</v>
      </c>
      <c r="V301" s="87">
        <v>2000000</v>
      </c>
      <c r="W301" s="87"/>
      <c r="X301" s="369">
        <f>SUM(L305:W305)</f>
        <v>15292000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71"/>
      <c r="B302" s="375"/>
      <c r="C302" s="407"/>
      <c r="D302" s="372"/>
      <c r="E302" s="359"/>
      <c r="F302" s="398"/>
      <c r="G302" s="394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69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71"/>
      <c r="B303" s="375"/>
      <c r="C303" s="407"/>
      <c r="D303" s="372"/>
      <c r="E303" s="359"/>
      <c r="F303" s="398"/>
      <c r="G303" s="394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69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71"/>
      <c r="B304" s="375"/>
      <c r="C304" s="407"/>
      <c r="D304" s="372"/>
      <c r="E304" s="359"/>
      <c r="F304" s="398"/>
      <c r="G304" s="394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69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4.25" customHeight="1">
      <c r="A305" s="371"/>
      <c r="B305" s="375"/>
      <c r="C305" s="407"/>
      <c r="D305" s="372"/>
      <c r="E305" s="359"/>
      <c r="F305" s="398"/>
      <c r="G305" s="394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292000</v>
      </c>
      <c r="O305" s="65">
        <f t="shared" si="93"/>
        <v>1300000</v>
      </c>
      <c r="P305" s="65">
        <f t="shared" si="93"/>
        <v>1300000</v>
      </c>
      <c r="Q305" s="65">
        <f t="shared" si="93"/>
        <v>2400000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2000000</v>
      </c>
      <c r="V305" s="65">
        <f t="shared" si="93"/>
        <v>2000000</v>
      </c>
      <c r="W305" s="65">
        <f t="shared" si="93"/>
        <v>0</v>
      </c>
      <c r="X305" s="369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71">
        <v>18</v>
      </c>
      <c r="B306" s="375" t="s">
        <v>216</v>
      </c>
      <c r="C306" s="416">
        <v>2014</v>
      </c>
      <c r="D306" s="360">
        <v>2031</v>
      </c>
      <c r="E306" s="359" t="s">
        <v>259</v>
      </c>
      <c r="F306" s="357">
        <f>19500+X306</f>
        <v>614500</v>
      </c>
      <c r="G306" s="358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164">
        <v>100000</v>
      </c>
      <c r="T306" s="164">
        <v>450000</v>
      </c>
      <c r="U306" s="157"/>
      <c r="V306" s="157"/>
      <c r="W306" s="157"/>
      <c r="X306" s="356">
        <f>SUM(L310:W310)</f>
        <v>595000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71"/>
      <c r="B307" s="375"/>
      <c r="C307" s="416"/>
      <c r="D307" s="360"/>
      <c r="E307" s="359"/>
      <c r="F307" s="357"/>
      <c r="G307" s="358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6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71"/>
      <c r="B308" s="375"/>
      <c r="C308" s="416"/>
      <c r="D308" s="360"/>
      <c r="E308" s="359"/>
      <c r="F308" s="357"/>
      <c r="G308" s="358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6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71"/>
      <c r="B309" s="375"/>
      <c r="C309" s="416"/>
      <c r="D309" s="360"/>
      <c r="E309" s="359"/>
      <c r="F309" s="357"/>
      <c r="G309" s="358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6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71"/>
      <c r="B310" s="375"/>
      <c r="C310" s="416"/>
      <c r="D310" s="360"/>
      <c r="E310" s="359"/>
      <c r="F310" s="357"/>
      <c r="G310" s="358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100000</v>
      </c>
      <c r="T310" s="162">
        <f t="shared" si="94"/>
        <v>450000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6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71">
        <v>19</v>
      </c>
      <c r="B311" s="375" t="s">
        <v>242</v>
      </c>
      <c r="C311" s="416">
        <v>2016</v>
      </c>
      <c r="D311" s="360">
        <v>2025</v>
      </c>
      <c r="E311" s="359" t="s">
        <v>259</v>
      </c>
      <c r="F311" s="357">
        <f>2716144+X311</f>
        <v>4825556</v>
      </c>
      <c r="G311" s="504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42">
        <v>450000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6">
        <f>SUM(L315:W315)</f>
        <v>2109412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71"/>
      <c r="B312" s="375"/>
      <c r="C312" s="416"/>
      <c r="D312" s="360"/>
      <c r="E312" s="359"/>
      <c r="F312" s="357"/>
      <c r="G312" s="504"/>
      <c r="H312" s="154">
        <v>6050</v>
      </c>
      <c r="I312" s="183" t="s">
        <v>31</v>
      </c>
      <c r="J312" s="157"/>
      <c r="K312" s="158"/>
      <c r="L312" s="186"/>
      <c r="M312" s="156"/>
      <c r="N312" s="336">
        <v>1659412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6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71"/>
      <c r="B313" s="375"/>
      <c r="C313" s="416"/>
      <c r="D313" s="360"/>
      <c r="E313" s="359"/>
      <c r="F313" s="357"/>
      <c r="G313" s="504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7"/>
      <c r="Q313" s="199"/>
      <c r="R313" s="199"/>
      <c r="S313" s="199"/>
      <c r="T313" s="199"/>
      <c r="U313" s="199"/>
      <c r="V313" s="199"/>
      <c r="W313" s="199"/>
      <c r="X313" s="356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71"/>
      <c r="B314" s="375"/>
      <c r="C314" s="416"/>
      <c r="D314" s="360"/>
      <c r="E314" s="359"/>
      <c r="F314" s="357"/>
      <c r="G314" s="504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6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71"/>
      <c r="B315" s="375"/>
      <c r="C315" s="416"/>
      <c r="D315" s="360"/>
      <c r="E315" s="359"/>
      <c r="F315" s="357"/>
      <c r="G315" s="504"/>
      <c r="H315" s="154"/>
      <c r="I315" s="222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2109412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6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71">
        <v>20</v>
      </c>
      <c r="B316" s="375" t="s">
        <v>148</v>
      </c>
      <c r="C316" s="416">
        <v>2022</v>
      </c>
      <c r="D316" s="360">
        <v>2028</v>
      </c>
      <c r="E316" s="359" t="s">
        <v>259</v>
      </c>
      <c r="F316" s="366">
        <f>46050+X316</f>
        <v>896050</v>
      </c>
      <c r="G316" s="504">
        <v>60016</v>
      </c>
      <c r="H316" s="154">
        <v>6050</v>
      </c>
      <c r="I316" s="163" t="s">
        <v>28</v>
      </c>
      <c r="J316" s="290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6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71"/>
      <c r="B317" s="375"/>
      <c r="C317" s="416"/>
      <c r="D317" s="360"/>
      <c r="E317" s="359"/>
      <c r="F317" s="366"/>
      <c r="G317" s="504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6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71"/>
      <c r="B318" s="375"/>
      <c r="C318" s="416"/>
      <c r="D318" s="360"/>
      <c r="E318" s="359"/>
      <c r="F318" s="366"/>
      <c r="G318" s="504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6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71"/>
      <c r="B319" s="375"/>
      <c r="C319" s="416"/>
      <c r="D319" s="360"/>
      <c r="E319" s="359"/>
      <c r="F319" s="366"/>
      <c r="G319" s="504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6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71"/>
      <c r="B320" s="375"/>
      <c r="C320" s="416"/>
      <c r="D320" s="360"/>
      <c r="E320" s="359"/>
      <c r="F320" s="366"/>
      <c r="G320" s="504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6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71">
        <v>21</v>
      </c>
      <c r="B321" s="374" t="s">
        <v>80</v>
      </c>
      <c r="C321" s="416">
        <v>2015</v>
      </c>
      <c r="D321" s="360">
        <v>2029</v>
      </c>
      <c r="E321" s="359" t="s">
        <v>259</v>
      </c>
      <c r="F321" s="357">
        <f>60789+X321</f>
        <v>1780789</v>
      </c>
      <c r="G321" s="358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164">
        <v>20000</v>
      </c>
      <c r="O321" s="164">
        <v>100000</v>
      </c>
      <c r="P321" s="164">
        <v>500000</v>
      </c>
      <c r="Q321" s="164">
        <v>450000</v>
      </c>
      <c r="R321" s="164">
        <v>650000</v>
      </c>
      <c r="S321" s="164"/>
      <c r="T321" s="157"/>
      <c r="U321" s="157"/>
      <c r="V321" s="157"/>
      <c r="W321" s="157"/>
      <c r="X321" s="419">
        <f>SUM(L325:W325)</f>
        <v>1720000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71"/>
      <c r="B322" s="374"/>
      <c r="C322" s="416"/>
      <c r="D322" s="360"/>
      <c r="E322" s="359"/>
      <c r="F322" s="357"/>
      <c r="G322" s="358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19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71"/>
      <c r="B323" s="374"/>
      <c r="C323" s="416"/>
      <c r="D323" s="360"/>
      <c r="E323" s="359"/>
      <c r="F323" s="357"/>
      <c r="G323" s="358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19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71"/>
      <c r="B324" s="374"/>
      <c r="C324" s="416"/>
      <c r="D324" s="360"/>
      <c r="E324" s="359"/>
      <c r="F324" s="357"/>
      <c r="G324" s="358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19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71"/>
      <c r="B325" s="374"/>
      <c r="C325" s="416"/>
      <c r="D325" s="360"/>
      <c r="E325" s="359"/>
      <c r="F325" s="357"/>
      <c r="G325" s="358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20000</v>
      </c>
      <c r="O325" s="161">
        <f>O321+O322+O323+O324</f>
        <v>100000</v>
      </c>
      <c r="P325" s="161">
        <f>P321+P322+P323+P324</f>
        <v>500000</v>
      </c>
      <c r="Q325" s="161">
        <f>SUM(Q321:Q324)</f>
        <v>450000</v>
      </c>
      <c r="R325" s="161">
        <f>SUM(R321:R324)</f>
        <v>650000</v>
      </c>
      <c r="S325" s="161"/>
      <c r="T325" s="161"/>
      <c r="U325" s="161"/>
      <c r="V325" s="161"/>
      <c r="W325" s="161"/>
      <c r="X325" s="419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71">
        <v>22</v>
      </c>
      <c r="B326" s="375" t="s">
        <v>215</v>
      </c>
      <c r="C326" s="416">
        <v>2015</v>
      </c>
      <c r="D326" s="360">
        <v>2029</v>
      </c>
      <c r="E326" s="359" t="s">
        <v>259</v>
      </c>
      <c r="F326" s="357">
        <f>920655+X326</f>
        <v>1420655</v>
      </c>
      <c r="G326" s="386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19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71"/>
      <c r="B327" s="375"/>
      <c r="C327" s="416"/>
      <c r="D327" s="360"/>
      <c r="E327" s="359"/>
      <c r="F327" s="357"/>
      <c r="G327" s="386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19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71"/>
      <c r="B328" s="375"/>
      <c r="C328" s="416"/>
      <c r="D328" s="360"/>
      <c r="E328" s="359"/>
      <c r="F328" s="357"/>
      <c r="G328" s="386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19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71"/>
      <c r="B329" s="375"/>
      <c r="C329" s="416"/>
      <c r="D329" s="360"/>
      <c r="E329" s="359"/>
      <c r="F329" s="357"/>
      <c r="G329" s="386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19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71"/>
      <c r="B330" s="375"/>
      <c r="C330" s="416"/>
      <c r="D330" s="360"/>
      <c r="E330" s="359"/>
      <c r="F330" s="357"/>
      <c r="G330" s="386"/>
      <c r="H330" s="170"/>
      <c r="I330" s="222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19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71">
        <v>23</v>
      </c>
      <c r="B331" s="374" t="s">
        <v>57</v>
      </c>
      <c r="C331" s="360">
        <v>2020</v>
      </c>
      <c r="D331" s="360">
        <v>2029</v>
      </c>
      <c r="E331" s="359" t="s">
        <v>259</v>
      </c>
      <c r="F331" s="357">
        <f>34563+X331</f>
        <v>834563</v>
      </c>
      <c r="G331" s="386">
        <v>60016</v>
      </c>
      <c r="H331" s="170">
        <v>6050</v>
      </c>
      <c r="I331" s="155" t="s">
        <v>28</v>
      </c>
      <c r="J331" s="164"/>
      <c r="K331" s="164">
        <v>34563</v>
      </c>
      <c r="L331" s="243">
        <v>0</v>
      </c>
      <c r="M331" s="243">
        <v>0</v>
      </c>
      <c r="N331" s="157"/>
      <c r="O331" s="157"/>
      <c r="P331" s="157"/>
      <c r="Q331" s="164">
        <v>350000</v>
      </c>
      <c r="R331" s="164">
        <v>450000</v>
      </c>
      <c r="S331" s="199"/>
      <c r="T331" s="199"/>
      <c r="U331" s="199"/>
      <c r="V331" s="199"/>
      <c r="W331" s="199"/>
      <c r="X331" s="419">
        <f>SUM(L335:W335)</f>
        <v>800000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71"/>
      <c r="B332" s="374"/>
      <c r="C332" s="360"/>
      <c r="D332" s="360"/>
      <c r="E332" s="359"/>
      <c r="F332" s="357"/>
      <c r="G332" s="386"/>
      <c r="H332" s="170"/>
      <c r="I332" s="155" t="s">
        <v>31</v>
      </c>
      <c r="J332" s="199"/>
      <c r="K332" s="199"/>
      <c r="L332" s="199"/>
      <c r="M332" s="199"/>
      <c r="N332" s="199"/>
      <c r="O332" s="199"/>
      <c r="P332" s="199"/>
      <c r="Q332" s="199"/>
      <c r="R332" s="199"/>
      <c r="S332" s="199"/>
      <c r="T332" s="199"/>
      <c r="U332" s="199"/>
      <c r="V332" s="199"/>
      <c r="W332" s="199"/>
      <c r="X332" s="419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71"/>
      <c r="B333" s="374"/>
      <c r="C333" s="360"/>
      <c r="D333" s="360"/>
      <c r="E333" s="359"/>
      <c r="F333" s="357"/>
      <c r="G333" s="386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19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71"/>
      <c r="B334" s="374"/>
      <c r="C334" s="360"/>
      <c r="D334" s="360"/>
      <c r="E334" s="359"/>
      <c r="F334" s="357"/>
      <c r="G334" s="386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19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8.75" customHeight="1">
      <c r="A335" s="371"/>
      <c r="B335" s="374"/>
      <c r="C335" s="360"/>
      <c r="D335" s="360"/>
      <c r="E335" s="359"/>
      <c r="F335" s="357"/>
      <c r="G335" s="386"/>
      <c r="H335" s="170"/>
      <c r="I335" s="222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0</v>
      </c>
      <c r="P335" s="162">
        <f t="shared" si="99"/>
        <v>0</v>
      </c>
      <c r="Q335" s="162">
        <f t="shared" si="99"/>
        <v>350000</v>
      </c>
      <c r="R335" s="162">
        <f t="shared" si="99"/>
        <v>450000</v>
      </c>
      <c r="S335" s="162"/>
      <c r="T335" s="162"/>
      <c r="U335" s="162"/>
      <c r="V335" s="162"/>
      <c r="W335" s="162"/>
      <c r="X335" s="419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71">
        <v>24</v>
      </c>
      <c r="B336" s="374" t="s">
        <v>58</v>
      </c>
      <c r="C336" s="416">
        <v>2021</v>
      </c>
      <c r="D336" s="360">
        <v>2031</v>
      </c>
      <c r="E336" s="359" t="s">
        <v>259</v>
      </c>
      <c r="F336" s="357">
        <f>80505+X336</f>
        <v>830505</v>
      </c>
      <c r="G336" s="358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157">
        <v>0</v>
      </c>
      <c r="S336" s="164">
        <v>350000</v>
      </c>
      <c r="T336" s="164">
        <v>400000</v>
      </c>
      <c r="U336" s="157"/>
      <c r="V336" s="157"/>
      <c r="W336" s="157"/>
      <c r="X336" s="419">
        <f>SUM(L340:W340)</f>
        <v>750000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71"/>
      <c r="B337" s="374"/>
      <c r="C337" s="416"/>
      <c r="D337" s="360"/>
      <c r="E337" s="359"/>
      <c r="F337" s="357"/>
      <c r="G337" s="358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19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71"/>
      <c r="B338" s="374"/>
      <c r="C338" s="416"/>
      <c r="D338" s="360"/>
      <c r="E338" s="359"/>
      <c r="F338" s="357"/>
      <c r="G338" s="358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19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71"/>
      <c r="B339" s="374"/>
      <c r="C339" s="416"/>
      <c r="D339" s="360"/>
      <c r="E339" s="359"/>
      <c r="F339" s="357"/>
      <c r="G339" s="358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19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5.75" customHeight="1">
      <c r="A340" s="371"/>
      <c r="B340" s="374"/>
      <c r="C340" s="416"/>
      <c r="D340" s="360"/>
      <c r="E340" s="359"/>
      <c r="F340" s="357"/>
      <c r="G340" s="358"/>
      <c r="H340" s="170"/>
      <c r="I340" s="222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0</v>
      </c>
      <c r="S340" s="161">
        <f t="shared" si="102"/>
        <v>350000</v>
      </c>
      <c r="T340" s="161">
        <f t="shared" si="102"/>
        <v>400000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19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71">
        <v>25</v>
      </c>
      <c r="B341" s="374" t="s">
        <v>219</v>
      </c>
      <c r="C341" s="416">
        <v>2022</v>
      </c>
      <c r="D341" s="416">
        <v>2031</v>
      </c>
      <c r="E341" s="359" t="s">
        <v>259</v>
      </c>
      <c r="F341" s="474">
        <f>24700+X341</f>
        <v>1124700</v>
      </c>
      <c r="G341" s="504">
        <v>60016</v>
      </c>
      <c r="H341" s="154">
        <v>6050</v>
      </c>
      <c r="I341" s="291" t="s">
        <v>28</v>
      </c>
      <c r="J341" s="169"/>
      <c r="K341" s="169">
        <v>0</v>
      </c>
      <c r="L341" s="169">
        <v>0</v>
      </c>
      <c r="M341" s="292"/>
      <c r="N341" s="292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50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71"/>
      <c r="B342" s="374"/>
      <c r="C342" s="416"/>
      <c r="D342" s="416"/>
      <c r="E342" s="359"/>
      <c r="F342" s="474"/>
      <c r="G342" s="504"/>
      <c r="H342" s="154"/>
      <c r="I342" s="291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50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71"/>
      <c r="B343" s="374"/>
      <c r="C343" s="416"/>
      <c r="D343" s="416"/>
      <c r="E343" s="359"/>
      <c r="F343" s="474"/>
      <c r="G343" s="504"/>
      <c r="H343" s="154"/>
      <c r="I343" s="291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50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71"/>
      <c r="B344" s="374"/>
      <c r="C344" s="416"/>
      <c r="D344" s="416"/>
      <c r="E344" s="359"/>
      <c r="F344" s="474"/>
      <c r="G344" s="504"/>
      <c r="H344" s="154"/>
      <c r="I344" s="291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50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71"/>
      <c r="B345" s="374"/>
      <c r="C345" s="416"/>
      <c r="D345" s="416"/>
      <c r="E345" s="359"/>
      <c r="F345" s="474"/>
      <c r="G345" s="504"/>
      <c r="H345" s="154"/>
      <c r="I345" s="222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50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71"/>
      <c r="B346" s="509" t="s">
        <v>60</v>
      </c>
      <c r="C346" s="457">
        <v>2020</v>
      </c>
      <c r="D346" s="457">
        <v>2021</v>
      </c>
      <c r="E346" s="456" t="s">
        <v>27</v>
      </c>
      <c r="F346" s="454">
        <f>SUM(J350:P350)</f>
        <v>0</v>
      </c>
      <c r="G346" s="479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3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71"/>
      <c r="B347" s="509"/>
      <c r="C347" s="457"/>
      <c r="D347" s="457"/>
      <c r="E347" s="456"/>
      <c r="F347" s="454"/>
      <c r="G347" s="479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3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71"/>
      <c r="B348" s="509"/>
      <c r="C348" s="457"/>
      <c r="D348" s="457"/>
      <c r="E348" s="456"/>
      <c r="F348" s="454"/>
      <c r="G348" s="479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3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71"/>
      <c r="B349" s="509"/>
      <c r="C349" s="457"/>
      <c r="D349" s="457"/>
      <c r="E349" s="456"/>
      <c r="F349" s="454"/>
      <c r="G349" s="479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3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71"/>
      <c r="B350" s="509"/>
      <c r="C350" s="457"/>
      <c r="D350" s="457"/>
      <c r="E350" s="456"/>
      <c r="F350" s="454"/>
      <c r="G350" s="479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3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71">
        <v>27</v>
      </c>
      <c r="B351" s="379" t="s">
        <v>61</v>
      </c>
      <c r="C351" s="446">
        <v>2016</v>
      </c>
      <c r="D351" s="446">
        <v>2022</v>
      </c>
      <c r="E351" s="549" t="s">
        <v>27</v>
      </c>
      <c r="F351" s="366">
        <f>X351</f>
        <v>0</v>
      </c>
      <c r="G351" s="504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6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71"/>
      <c r="B352" s="379"/>
      <c r="C352" s="446"/>
      <c r="D352" s="446"/>
      <c r="E352" s="456"/>
      <c r="F352" s="366"/>
      <c r="G352" s="504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6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71"/>
      <c r="B353" s="379"/>
      <c r="C353" s="446"/>
      <c r="D353" s="446"/>
      <c r="E353" s="456"/>
      <c r="F353" s="366"/>
      <c r="G353" s="504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6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71"/>
      <c r="B354" s="379"/>
      <c r="C354" s="446"/>
      <c r="D354" s="446"/>
      <c r="E354" s="456"/>
      <c r="F354" s="366"/>
      <c r="G354" s="504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6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71"/>
      <c r="B355" s="379"/>
      <c r="C355" s="446"/>
      <c r="D355" s="446"/>
      <c r="E355" s="456"/>
      <c r="F355" s="366"/>
      <c r="G355" s="504"/>
      <c r="H355" s="154"/>
      <c r="I355" s="222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6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71">
        <v>28</v>
      </c>
      <c r="B356" s="379" t="s">
        <v>207</v>
      </c>
      <c r="C356" s="416">
        <v>2017</v>
      </c>
      <c r="D356" s="364">
        <v>2023</v>
      </c>
      <c r="E356" s="363" t="s">
        <v>27</v>
      </c>
      <c r="F356" s="366"/>
      <c r="G356" s="358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6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71"/>
      <c r="B357" s="379"/>
      <c r="C357" s="416"/>
      <c r="D357" s="364"/>
      <c r="E357" s="363"/>
      <c r="F357" s="366"/>
      <c r="G357" s="358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6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71"/>
      <c r="B358" s="379"/>
      <c r="C358" s="416"/>
      <c r="D358" s="364"/>
      <c r="E358" s="363"/>
      <c r="F358" s="366"/>
      <c r="G358" s="358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6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71"/>
      <c r="B359" s="379"/>
      <c r="C359" s="416"/>
      <c r="D359" s="364"/>
      <c r="E359" s="363"/>
      <c r="F359" s="366"/>
      <c r="G359" s="358"/>
      <c r="H359" s="170">
        <v>6050</v>
      </c>
      <c r="I359" s="155" t="s">
        <v>105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6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15" hidden="1" customHeight="1">
      <c r="A360" s="371"/>
      <c r="B360" s="379"/>
      <c r="C360" s="416"/>
      <c r="D360" s="364"/>
      <c r="E360" s="363"/>
      <c r="F360" s="366"/>
      <c r="G360" s="358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6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71">
        <v>26</v>
      </c>
      <c r="B361" s="374" t="s">
        <v>62</v>
      </c>
      <c r="C361" s="416">
        <v>2017</v>
      </c>
      <c r="D361" s="364">
        <v>2031</v>
      </c>
      <c r="E361" s="359" t="s">
        <v>259</v>
      </c>
      <c r="F361" s="366">
        <f>427004+X361</f>
        <v>827004</v>
      </c>
      <c r="G361" s="358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3">
        <v>0</v>
      </c>
      <c r="N361" s="167"/>
      <c r="O361" s="164"/>
      <c r="P361" s="164"/>
      <c r="Q361" s="164"/>
      <c r="R361" s="164">
        <v>0</v>
      </c>
      <c r="S361" s="164">
        <v>200000</v>
      </c>
      <c r="T361" s="164">
        <v>200000</v>
      </c>
      <c r="U361" s="164"/>
      <c r="V361" s="164"/>
      <c r="W361" s="164"/>
      <c r="X361" s="356">
        <f>SUM(L365:W365)</f>
        <v>400000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71"/>
      <c r="B362" s="374"/>
      <c r="C362" s="416"/>
      <c r="D362" s="364"/>
      <c r="E362" s="359"/>
      <c r="F362" s="366"/>
      <c r="G362" s="358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6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71"/>
      <c r="B363" s="374"/>
      <c r="C363" s="416"/>
      <c r="D363" s="364"/>
      <c r="E363" s="359"/>
      <c r="F363" s="366"/>
      <c r="G363" s="358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6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71"/>
      <c r="B364" s="374"/>
      <c r="C364" s="416"/>
      <c r="D364" s="364"/>
      <c r="E364" s="359"/>
      <c r="F364" s="366"/>
      <c r="G364" s="358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6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2.75" customHeight="1">
      <c r="A365" s="371"/>
      <c r="B365" s="374"/>
      <c r="C365" s="416"/>
      <c r="D365" s="364"/>
      <c r="E365" s="359"/>
      <c r="F365" s="366"/>
      <c r="G365" s="358"/>
      <c r="H365" s="170"/>
      <c r="I365" s="222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0</v>
      </c>
      <c r="R365" s="162">
        <f t="shared" si="108"/>
        <v>0</v>
      </c>
      <c r="S365" s="162">
        <f t="shared" ref="S365" si="109">SUM(S361:S364)</f>
        <v>200000</v>
      </c>
      <c r="T365" s="162">
        <f t="shared" ref="T365" si="110">SUM(T361:T364)</f>
        <v>200000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6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71"/>
      <c r="B366" s="509" t="s">
        <v>130</v>
      </c>
      <c r="C366" s="457">
        <v>2017</v>
      </c>
      <c r="D366" s="450">
        <v>2019</v>
      </c>
      <c r="E366" s="481" t="s">
        <v>27</v>
      </c>
      <c r="F366" s="482"/>
      <c r="G366" s="367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68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71"/>
      <c r="B367" s="509"/>
      <c r="C367" s="457"/>
      <c r="D367" s="450"/>
      <c r="E367" s="481"/>
      <c r="F367" s="482"/>
      <c r="G367" s="367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68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71"/>
      <c r="B368" s="509"/>
      <c r="C368" s="457"/>
      <c r="D368" s="450"/>
      <c r="E368" s="481"/>
      <c r="F368" s="482"/>
      <c r="G368" s="367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68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71"/>
      <c r="B369" s="509"/>
      <c r="C369" s="457"/>
      <c r="D369" s="450"/>
      <c r="E369" s="481"/>
      <c r="F369" s="482"/>
      <c r="G369" s="367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68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71"/>
      <c r="B370" s="509"/>
      <c r="C370" s="457"/>
      <c r="D370" s="450"/>
      <c r="E370" s="481"/>
      <c r="F370" s="482"/>
      <c r="G370" s="367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68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71">
        <v>29</v>
      </c>
      <c r="B371" s="379" t="s">
        <v>81</v>
      </c>
      <c r="C371" s="457">
        <v>2016</v>
      </c>
      <c r="D371" s="450">
        <v>2025</v>
      </c>
      <c r="E371" s="481" t="s">
        <v>27</v>
      </c>
      <c r="F371" s="454">
        <v>0</v>
      </c>
      <c r="G371" s="367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68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71"/>
      <c r="B372" s="379"/>
      <c r="C372" s="457"/>
      <c r="D372" s="450"/>
      <c r="E372" s="481"/>
      <c r="F372" s="454"/>
      <c r="G372" s="367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68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71"/>
      <c r="B373" s="379"/>
      <c r="C373" s="457"/>
      <c r="D373" s="450"/>
      <c r="E373" s="481"/>
      <c r="F373" s="454"/>
      <c r="G373" s="367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68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71"/>
      <c r="B374" s="379"/>
      <c r="C374" s="457"/>
      <c r="D374" s="450"/>
      <c r="E374" s="481"/>
      <c r="F374" s="454"/>
      <c r="G374" s="367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68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12" hidden="1" customHeight="1">
      <c r="A375" s="371"/>
      <c r="B375" s="379"/>
      <c r="C375" s="457"/>
      <c r="D375" s="450"/>
      <c r="E375" s="481"/>
      <c r="F375" s="454"/>
      <c r="G375" s="367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68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5">
        <v>27</v>
      </c>
      <c r="B376" s="374" t="s">
        <v>146</v>
      </c>
      <c r="C376" s="416">
        <v>2014</v>
      </c>
      <c r="D376" s="364">
        <v>2031</v>
      </c>
      <c r="E376" s="359" t="s">
        <v>259</v>
      </c>
      <c r="F376" s="366">
        <f>60640+X376</f>
        <v>760640</v>
      </c>
      <c r="G376" s="358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3">
        <v>0</v>
      </c>
      <c r="N376" s="244"/>
      <c r="O376" s="245"/>
      <c r="P376" s="164"/>
      <c r="Q376" s="164"/>
      <c r="R376" s="164"/>
      <c r="S376" s="164">
        <v>300000</v>
      </c>
      <c r="T376" s="164">
        <v>400000</v>
      </c>
      <c r="U376" s="164"/>
      <c r="V376" s="164"/>
      <c r="W376" s="164"/>
      <c r="X376" s="356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6"/>
      <c r="B377" s="374"/>
      <c r="C377" s="416"/>
      <c r="D377" s="364"/>
      <c r="E377" s="359"/>
      <c r="F377" s="366"/>
      <c r="G377" s="358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6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6"/>
      <c r="B378" s="374"/>
      <c r="C378" s="416"/>
      <c r="D378" s="364"/>
      <c r="E378" s="359"/>
      <c r="F378" s="366"/>
      <c r="G378" s="358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6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6"/>
      <c r="B379" s="374"/>
      <c r="C379" s="416"/>
      <c r="D379" s="364"/>
      <c r="E379" s="359"/>
      <c r="F379" s="366"/>
      <c r="G379" s="358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6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7"/>
      <c r="B380" s="374"/>
      <c r="C380" s="416"/>
      <c r="D380" s="364"/>
      <c r="E380" s="359"/>
      <c r="F380" s="366"/>
      <c r="G380" s="358"/>
      <c r="H380" s="170"/>
      <c r="I380" s="222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0</v>
      </c>
      <c r="Q380" s="162">
        <f t="shared" ref="Q380:W380" si="117">SUM(Q376:Q379)</f>
        <v>0</v>
      </c>
      <c r="R380" s="162">
        <f t="shared" si="117"/>
        <v>0</v>
      </c>
      <c r="S380" s="162">
        <f t="shared" si="117"/>
        <v>300000</v>
      </c>
      <c r="T380" s="162">
        <f t="shared" si="117"/>
        <v>400000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6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71">
        <v>28</v>
      </c>
      <c r="B381" s="375" t="s">
        <v>186</v>
      </c>
      <c r="C381" s="360">
        <v>2024</v>
      </c>
      <c r="D381" s="364">
        <v>2027</v>
      </c>
      <c r="E381" s="359" t="s">
        <v>259</v>
      </c>
      <c r="F381" s="366">
        <f>X381+175000</f>
        <v>1220000</v>
      </c>
      <c r="G381" s="358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164">
        <v>120000</v>
      </c>
      <c r="P381" s="164">
        <v>900000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6">
        <f>SUM(L385:W385)</f>
        <v>1045000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71"/>
      <c r="B382" s="375"/>
      <c r="C382" s="360"/>
      <c r="D382" s="364"/>
      <c r="E382" s="359"/>
      <c r="F382" s="366"/>
      <c r="G382" s="358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6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71"/>
      <c r="B383" s="375"/>
      <c r="C383" s="360"/>
      <c r="D383" s="364"/>
      <c r="E383" s="359"/>
      <c r="F383" s="366"/>
      <c r="G383" s="358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6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71"/>
      <c r="B384" s="375"/>
      <c r="C384" s="360"/>
      <c r="D384" s="364"/>
      <c r="E384" s="359"/>
      <c r="F384" s="366"/>
      <c r="G384" s="358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6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71"/>
      <c r="B385" s="375"/>
      <c r="C385" s="360"/>
      <c r="D385" s="364"/>
      <c r="E385" s="359"/>
      <c r="F385" s="366"/>
      <c r="G385" s="358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120000</v>
      </c>
      <c r="P385" s="162">
        <f t="shared" si="118"/>
        <v>900000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6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customHeight="1">
      <c r="A386" s="371">
        <v>29</v>
      </c>
      <c r="B386" s="375" t="s">
        <v>185</v>
      </c>
      <c r="C386" s="416">
        <v>2023</v>
      </c>
      <c r="D386" s="364">
        <v>2027</v>
      </c>
      <c r="E386" s="359" t="s">
        <v>259</v>
      </c>
      <c r="F386" s="366">
        <f>X386</f>
        <v>1200000</v>
      </c>
      <c r="G386" s="358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100000</v>
      </c>
      <c r="P386" s="164">
        <v>1100000</v>
      </c>
      <c r="R386" s="164"/>
      <c r="S386" s="164"/>
      <c r="T386" s="157"/>
      <c r="U386" s="157"/>
      <c r="V386" s="157"/>
      <c r="W386" s="157"/>
      <c r="X386" s="356">
        <f>SUM(L390:W390)</f>
        <v>1200000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customHeight="1">
      <c r="A387" s="371"/>
      <c r="B387" s="375"/>
      <c r="C387" s="416"/>
      <c r="D387" s="364"/>
      <c r="E387" s="359"/>
      <c r="F387" s="366"/>
      <c r="G387" s="358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6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customHeight="1">
      <c r="A388" s="371"/>
      <c r="B388" s="375"/>
      <c r="C388" s="416"/>
      <c r="D388" s="364"/>
      <c r="E388" s="359"/>
      <c r="F388" s="366"/>
      <c r="G388" s="358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6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customHeight="1">
      <c r="A389" s="371"/>
      <c r="B389" s="375"/>
      <c r="C389" s="416"/>
      <c r="D389" s="364"/>
      <c r="E389" s="359"/>
      <c r="F389" s="366"/>
      <c r="G389" s="358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6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customHeight="1">
      <c r="A390" s="371"/>
      <c r="B390" s="375"/>
      <c r="C390" s="416"/>
      <c r="D390" s="364"/>
      <c r="E390" s="359"/>
      <c r="F390" s="366"/>
      <c r="G390" s="358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100000</v>
      </c>
      <c r="P390" s="162">
        <f t="shared" si="119"/>
        <v>1100000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6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71">
        <v>30</v>
      </c>
      <c r="B391" s="374" t="s">
        <v>184</v>
      </c>
      <c r="C391" s="416">
        <v>2022</v>
      </c>
      <c r="D391" s="364">
        <v>2030</v>
      </c>
      <c r="E391" s="359" t="s">
        <v>259</v>
      </c>
      <c r="F391" s="366">
        <f>81574+X391</f>
        <v>1881574</v>
      </c>
      <c r="G391" s="358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6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71"/>
      <c r="B392" s="374"/>
      <c r="C392" s="416"/>
      <c r="D392" s="364"/>
      <c r="E392" s="359"/>
      <c r="F392" s="366"/>
      <c r="G392" s="358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6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71"/>
      <c r="B393" s="374"/>
      <c r="C393" s="416"/>
      <c r="D393" s="364"/>
      <c r="E393" s="359"/>
      <c r="F393" s="366"/>
      <c r="G393" s="358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6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71"/>
      <c r="B394" s="374"/>
      <c r="C394" s="416"/>
      <c r="D394" s="364"/>
      <c r="E394" s="359"/>
      <c r="F394" s="366"/>
      <c r="G394" s="358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6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71"/>
      <c r="B395" s="374"/>
      <c r="C395" s="416"/>
      <c r="D395" s="364"/>
      <c r="E395" s="359"/>
      <c r="F395" s="366"/>
      <c r="G395" s="358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6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customHeight="1">
      <c r="A396" s="371">
        <v>31</v>
      </c>
      <c r="B396" s="375" t="s">
        <v>211</v>
      </c>
      <c r="C396" s="416">
        <v>2024</v>
      </c>
      <c r="D396" s="364">
        <v>2026</v>
      </c>
      <c r="E396" s="359" t="s">
        <v>259</v>
      </c>
      <c r="F396" s="366">
        <f>X396</f>
        <v>100000</v>
      </c>
      <c r="G396" s="358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100000</v>
      </c>
      <c r="P396" s="157"/>
      <c r="Q396" s="157"/>
      <c r="R396" s="157"/>
      <c r="S396" s="157"/>
      <c r="T396" s="157"/>
      <c r="U396" s="157"/>
      <c r="V396" s="157"/>
      <c r="W396" s="157"/>
      <c r="X396" s="356">
        <f>SUM(L400:W400)</f>
        <v>100000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customHeight="1">
      <c r="A397" s="371"/>
      <c r="B397" s="375"/>
      <c r="C397" s="416"/>
      <c r="D397" s="364"/>
      <c r="E397" s="359"/>
      <c r="F397" s="366"/>
      <c r="G397" s="358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6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customHeight="1">
      <c r="A398" s="371"/>
      <c r="B398" s="375"/>
      <c r="C398" s="416"/>
      <c r="D398" s="364"/>
      <c r="E398" s="359"/>
      <c r="F398" s="366"/>
      <c r="G398" s="358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6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customHeight="1">
      <c r="A399" s="371"/>
      <c r="B399" s="375"/>
      <c r="C399" s="416"/>
      <c r="D399" s="364"/>
      <c r="E399" s="359"/>
      <c r="F399" s="366"/>
      <c r="G399" s="358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6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customHeight="1">
      <c r="A400" s="371"/>
      <c r="B400" s="375"/>
      <c r="C400" s="416"/>
      <c r="D400" s="364"/>
      <c r="E400" s="359"/>
      <c r="F400" s="366"/>
      <c r="G400" s="358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100000</v>
      </c>
      <c r="P400" s="162">
        <f t="shared" si="121"/>
        <v>0</v>
      </c>
      <c r="Q400" s="162"/>
      <c r="R400" s="162"/>
      <c r="S400" s="162"/>
      <c r="T400" s="162"/>
      <c r="U400" s="162"/>
      <c r="V400" s="162"/>
      <c r="W400" s="162"/>
      <c r="X400" s="356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71">
        <v>32</v>
      </c>
      <c r="B401" s="379" t="s">
        <v>208</v>
      </c>
      <c r="C401" s="416">
        <v>2018</v>
      </c>
      <c r="D401" s="364">
        <v>2022</v>
      </c>
      <c r="E401" s="363" t="s">
        <v>27</v>
      </c>
      <c r="F401" s="366">
        <f>X401</f>
        <v>0</v>
      </c>
      <c r="G401" s="358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157"/>
      <c r="R401" s="157"/>
      <c r="S401" s="157"/>
      <c r="T401" s="157"/>
      <c r="U401" s="157"/>
      <c r="V401" s="157"/>
      <c r="W401" s="157"/>
      <c r="X401" s="356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71"/>
      <c r="B402" s="379"/>
      <c r="C402" s="416"/>
      <c r="D402" s="364"/>
      <c r="E402" s="363"/>
      <c r="F402" s="366"/>
      <c r="G402" s="358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356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71"/>
      <c r="B403" s="379"/>
      <c r="C403" s="416"/>
      <c r="D403" s="364"/>
      <c r="E403" s="363"/>
      <c r="F403" s="366"/>
      <c r="G403" s="358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356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71"/>
      <c r="B404" s="379"/>
      <c r="C404" s="416"/>
      <c r="D404" s="364"/>
      <c r="E404" s="363"/>
      <c r="F404" s="366"/>
      <c r="G404" s="358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356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71"/>
      <c r="B405" s="379"/>
      <c r="C405" s="416"/>
      <c r="D405" s="364"/>
      <c r="E405" s="363"/>
      <c r="F405" s="366"/>
      <c r="G405" s="358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162"/>
      <c r="R405" s="162"/>
      <c r="S405" s="162"/>
      <c r="T405" s="162"/>
      <c r="U405" s="162"/>
      <c r="V405" s="162"/>
      <c r="W405" s="162"/>
      <c r="X405" s="356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71">
        <v>32</v>
      </c>
      <c r="B406" s="374" t="s">
        <v>217</v>
      </c>
      <c r="C406" s="429">
        <v>2021</v>
      </c>
      <c r="D406" s="429">
        <v>2031</v>
      </c>
      <c r="E406" s="359" t="s">
        <v>259</v>
      </c>
      <c r="F406" s="366">
        <f>20000+X406</f>
        <v>870000</v>
      </c>
      <c r="G406" s="453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199">
        <v>0</v>
      </c>
      <c r="R406" s="169">
        <v>300000</v>
      </c>
      <c r="S406" s="169">
        <v>350000</v>
      </c>
      <c r="T406" s="169">
        <v>200000</v>
      </c>
      <c r="U406" s="199"/>
      <c r="V406" s="199"/>
      <c r="W406" s="199"/>
      <c r="X406" s="356">
        <f>SUM(L410:W410)</f>
        <v>850000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71"/>
      <c r="B407" s="374"/>
      <c r="C407" s="429"/>
      <c r="D407" s="429"/>
      <c r="E407" s="359"/>
      <c r="F407" s="366"/>
      <c r="G407" s="453"/>
      <c r="H407" s="165">
        <v>6050</v>
      </c>
      <c r="I407" s="183" t="s">
        <v>98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6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71"/>
      <c r="B408" s="374"/>
      <c r="C408" s="429"/>
      <c r="D408" s="429"/>
      <c r="E408" s="359"/>
      <c r="F408" s="366"/>
      <c r="G408" s="453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6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71"/>
      <c r="B409" s="374"/>
      <c r="C409" s="429"/>
      <c r="D409" s="429"/>
      <c r="E409" s="359"/>
      <c r="F409" s="366"/>
      <c r="G409" s="453"/>
      <c r="H409" s="165">
        <v>6050</v>
      </c>
      <c r="I409" s="163" t="s">
        <v>82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6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71"/>
      <c r="B410" s="374"/>
      <c r="C410" s="429"/>
      <c r="D410" s="429"/>
      <c r="E410" s="359"/>
      <c r="F410" s="366"/>
      <c r="G410" s="453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0</v>
      </c>
      <c r="R410" s="161">
        <f t="shared" si="123"/>
        <v>300000</v>
      </c>
      <c r="S410" s="161">
        <f t="shared" si="123"/>
        <v>350000</v>
      </c>
      <c r="T410" s="161">
        <f t="shared" si="123"/>
        <v>200000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6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customHeight="1">
      <c r="A411" s="371">
        <v>33</v>
      </c>
      <c r="B411" s="375" t="s">
        <v>118</v>
      </c>
      <c r="C411" s="429">
        <v>2018</v>
      </c>
      <c r="D411" s="429">
        <v>2028</v>
      </c>
      <c r="E411" s="359" t="s">
        <v>259</v>
      </c>
      <c r="F411" s="366">
        <f>149720+X411</f>
        <v>1549720</v>
      </c>
      <c r="G411" s="453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400000</v>
      </c>
      <c r="P411" s="164">
        <v>500000</v>
      </c>
      <c r="Q411" s="164">
        <v>500000</v>
      </c>
      <c r="R411" s="199"/>
      <c r="S411" s="199"/>
      <c r="T411" s="199"/>
      <c r="U411" s="199"/>
      <c r="V411" s="199"/>
      <c r="W411" s="199"/>
      <c r="X411" s="356">
        <f>SUM(M415:W415)</f>
        <v>1400000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customHeight="1">
      <c r="A412" s="371"/>
      <c r="B412" s="375"/>
      <c r="C412" s="429"/>
      <c r="D412" s="429"/>
      <c r="E412" s="359"/>
      <c r="F412" s="366"/>
      <c r="G412" s="453"/>
      <c r="H412" s="165"/>
      <c r="I412" s="183" t="s">
        <v>31</v>
      </c>
      <c r="J412" s="199"/>
      <c r="K412" s="199"/>
      <c r="L412" s="199"/>
      <c r="M412" s="199"/>
      <c r="N412" s="199"/>
      <c r="O412" s="199"/>
      <c r="P412" s="199"/>
      <c r="Q412" s="199"/>
      <c r="R412" s="199"/>
      <c r="S412" s="199"/>
      <c r="T412" s="199"/>
      <c r="U412" s="199"/>
      <c r="V412" s="199"/>
      <c r="W412" s="199"/>
      <c r="X412" s="356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customHeight="1">
      <c r="A413" s="371"/>
      <c r="B413" s="375"/>
      <c r="C413" s="429"/>
      <c r="D413" s="429"/>
      <c r="E413" s="359"/>
      <c r="F413" s="366"/>
      <c r="G413" s="453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6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customHeight="1">
      <c r="A414" s="371"/>
      <c r="B414" s="375"/>
      <c r="C414" s="429"/>
      <c r="D414" s="429"/>
      <c r="E414" s="359"/>
      <c r="F414" s="366"/>
      <c r="G414" s="453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6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customHeight="1">
      <c r="A415" s="371"/>
      <c r="B415" s="375"/>
      <c r="C415" s="429"/>
      <c r="D415" s="429"/>
      <c r="E415" s="359"/>
      <c r="F415" s="366"/>
      <c r="G415" s="453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400000</v>
      </c>
      <c r="P415" s="161">
        <f t="shared" ref="P415" si="128">SUM(P411:P414)</f>
        <v>500000</v>
      </c>
      <c r="Q415" s="161">
        <f>SUM(Q411:Q414)</f>
        <v>500000</v>
      </c>
      <c r="R415" s="161"/>
      <c r="S415" s="161"/>
      <c r="T415" s="161"/>
      <c r="U415" s="161"/>
      <c r="V415" s="161"/>
      <c r="W415" s="161"/>
      <c r="X415" s="356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71">
        <v>34</v>
      </c>
      <c r="B416" s="374" t="s">
        <v>218</v>
      </c>
      <c r="C416" s="416">
        <v>2021</v>
      </c>
      <c r="D416" s="451">
        <v>2031</v>
      </c>
      <c r="E416" s="359" t="s">
        <v>259</v>
      </c>
      <c r="F416" s="366">
        <f>139804+X416</f>
        <v>669804</v>
      </c>
      <c r="G416" s="358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30000</v>
      </c>
      <c r="O416" s="164"/>
      <c r="P416" s="157"/>
      <c r="Q416" s="157"/>
      <c r="R416" s="164">
        <v>0</v>
      </c>
      <c r="S416" s="164">
        <v>250000</v>
      </c>
      <c r="T416" s="164">
        <v>250000</v>
      </c>
      <c r="U416" s="157"/>
      <c r="V416" s="157"/>
      <c r="W416" s="157"/>
      <c r="X416" s="356">
        <f>SUM(L420:W420)</f>
        <v>530000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71"/>
      <c r="B417" s="374"/>
      <c r="C417" s="416"/>
      <c r="D417" s="451"/>
      <c r="E417" s="359"/>
      <c r="F417" s="366"/>
      <c r="G417" s="358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6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71"/>
      <c r="B418" s="374"/>
      <c r="C418" s="416"/>
      <c r="D418" s="451"/>
      <c r="E418" s="359"/>
      <c r="F418" s="366"/>
      <c r="G418" s="358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6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71"/>
      <c r="B419" s="374"/>
      <c r="C419" s="416"/>
      <c r="D419" s="451"/>
      <c r="E419" s="359"/>
      <c r="F419" s="366"/>
      <c r="G419" s="358"/>
      <c r="H419" s="170"/>
      <c r="I419" s="155" t="s">
        <v>92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6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71"/>
      <c r="B420" s="374"/>
      <c r="C420" s="416"/>
      <c r="D420" s="451"/>
      <c r="E420" s="359"/>
      <c r="F420" s="366"/>
      <c r="G420" s="358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30000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250000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6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71"/>
      <c r="B421" s="509" t="s">
        <v>99</v>
      </c>
      <c r="C421" s="449">
        <v>2015</v>
      </c>
      <c r="D421" s="472">
        <v>2019</v>
      </c>
      <c r="E421" s="470" t="s">
        <v>27</v>
      </c>
      <c r="F421" s="553"/>
      <c r="G421" s="473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68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71"/>
      <c r="B422" s="509"/>
      <c r="C422" s="449"/>
      <c r="D422" s="472"/>
      <c r="E422" s="470"/>
      <c r="F422" s="553"/>
      <c r="G422" s="473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68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71"/>
      <c r="B423" s="509"/>
      <c r="C423" s="449"/>
      <c r="D423" s="472"/>
      <c r="E423" s="470"/>
      <c r="F423" s="553"/>
      <c r="G423" s="473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68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71"/>
      <c r="B424" s="509"/>
      <c r="C424" s="449"/>
      <c r="D424" s="472"/>
      <c r="E424" s="470"/>
      <c r="F424" s="553"/>
      <c r="G424" s="473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68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71"/>
      <c r="B425" s="509"/>
      <c r="C425" s="449"/>
      <c r="D425" s="472"/>
      <c r="E425" s="470"/>
      <c r="F425" s="553"/>
      <c r="G425" s="473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68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71"/>
      <c r="B426" s="509" t="s">
        <v>96</v>
      </c>
      <c r="C426" s="449">
        <v>2018</v>
      </c>
      <c r="D426" s="472">
        <v>2019</v>
      </c>
      <c r="E426" s="470" t="s">
        <v>27</v>
      </c>
      <c r="F426" s="454"/>
      <c r="G426" s="473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68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71"/>
      <c r="B427" s="509"/>
      <c r="C427" s="449"/>
      <c r="D427" s="472"/>
      <c r="E427" s="470"/>
      <c r="F427" s="454"/>
      <c r="G427" s="473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68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71"/>
      <c r="B428" s="509"/>
      <c r="C428" s="449"/>
      <c r="D428" s="472"/>
      <c r="E428" s="470"/>
      <c r="F428" s="454"/>
      <c r="G428" s="473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68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71"/>
      <c r="B429" s="509"/>
      <c r="C429" s="449"/>
      <c r="D429" s="472"/>
      <c r="E429" s="470"/>
      <c r="F429" s="454"/>
      <c r="G429" s="473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68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71"/>
      <c r="B430" s="509"/>
      <c r="C430" s="449"/>
      <c r="D430" s="472"/>
      <c r="E430" s="470"/>
      <c r="F430" s="454"/>
      <c r="G430" s="473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68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71">
        <v>35</v>
      </c>
      <c r="B431" s="374" t="s">
        <v>100</v>
      </c>
      <c r="C431" s="360">
        <v>2018</v>
      </c>
      <c r="D431" s="451">
        <v>2027</v>
      </c>
      <c r="E431" s="359" t="s">
        <v>259</v>
      </c>
      <c r="F431" s="366">
        <f>753442+X431</f>
        <v>1353442</v>
      </c>
      <c r="G431" s="386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200000</v>
      </c>
      <c r="P431" s="156">
        <v>400000</v>
      </c>
      <c r="Q431" s="187"/>
      <c r="R431" s="156">
        <v>0</v>
      </c>
      <c r="S431" s="187"/>
      <c r="T431" s="187"/>
      <c r="U431" s="187"/>
      <c r="V431" s="187"/>
      <c r="W431" s="187"/>
      <c r="X431" s="356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71"/>
      <c r="B432" s="374"/>
      <c r="C432" s="360"/>
      <c r="D432" s="451"/>
      <c r="E432" s="359"/>
      <c r="F432" s="366"/>
      <c r="G432" s="386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6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71"/>
      <c r="B433" s="374"/>
      <c r="C433" s="360"/>
      <c r="D433" s="451"/>
      <c r="E433" s="359"/>
      <c r="F433" s="366"/>
      <c r="G433" s="386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6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71"/>
      <c r="B434" s="374"/>
      <c r="C434" s="360"/>
      <c r="D434" s="451"/>
      <c r="E434" s="359"/>
      <c r="F434" s="366"/>
      <c r="G434" s="386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6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23.25" customHeight="1">
      <c r="A435" s="371"/>
      <c r="B435" s="374"/>
      <c r="C435" s="360"/>
      <c r="D435" s="451"/>
      <c r="E435" s="359"/>
      <c r="F435" s="366"/>
      <c r="G435" s="386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200000</v>
      </c>
      <c r="P435" s="161">
        <f>SUM(P431:P434)</f>
        <v>400000</v>
      </c>
      <c r="Q435" s="161">
        <f t="shared" ref="Q435:W435" si="135">SUM(Q431:Q434)</f>
        <v>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6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71">
        <v>35</v>
      </c>
      <c r="B436" s="375" t="s">
        <v>214</v>
      </c>
      <c r="C436" s="372">
        <v>2021</v>
      </c>
      <c r="D436" s="372">
        <v>2031</v>
      </c>
      <c r="E436" s="359" t="s">
        <v>259</v>
      </c>
      <c r="F436" s="480">
        <v>0</v>
      </c>
      <c r="G436" s="365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8">
        <v>0</v>
      </c>
      <c r="Q436" s="84"/>
      <c r="R436" s="84"/>
      <c r="S436" s="348">
        <v>0</v>
      </c>
      <c r="T436" s="348">
        <v>0</v>
      </c>
      <c r="U436" s="84"/>
      <c r="V436" s="84"/>
      <c r="W436" s="84"/>
      <c r="X436" s="369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71"/>
      <c r="B437" s="375"/>
      <c r="C437" s="372"/>
      <c r="D437" s="372"/>
      <c r="E437" s="359"/>
      <c r="F437" s="480"/>
      <c r="G437" s="365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69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71"/>
      <c r="B438" s="375"/>
      <c r="C438" s="372"/>
      <c r="D438" s="372"/>
      <c r="E438" s="359"/>
      <c r="F438" s="480"/>
      <c r="G438" s="365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69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71"/>
      <c r="B439" s="375"/>
      <c r="C439" s="372"/>
      <c r="D439" s="372"/>
      <c r="E439" s="359"/>
      <c r="F439" s="480"/>
      <c r="G439" s="365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69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71"/>
      <c r="B440" s="375"/>
      <c r="C440" s="372"/>
      <c r="D440" s="372"/>
      <c r="E440" s="359"/>
      <c r="F440" s="480"/>
      <c r="G440" s="365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9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69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71">
        <v>36</v>
      </c>
      <c r="B441" s="497" t="s">
        <v>230</v>
      </c>
      <c r="C441" s="360">
        <v>2021</v>
      </c>
      <c r="D441" s="451">
        <v>2028</v>
      </c>
      <c r="E441" s="359" t="s">
        <v>27</v>
      </c>
      <c r="F441" s="478">
        <f>X441</f>
        <v>0</v>
      </c>
      <c r="G441" s="386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3"/>
      <c r="N441" s="301"/>
      <c r="O441" s="349">
        <v>0</v>
      </c>
      <c r="P441" s="348">
        <v>0</v>
      </c>
      <c r="Q441" s="348">
        <v>0</v>
      </c>
      <c r="R441" s="100"/>
      <c r="S441" s="98"/>
      <c r="T441" s="187"/>
      <c r="U441" s="187"/>
      <c r="V441" s="187"/>
      <c r="W441" s="187"/>
      <c r="X441" s="471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71"/>
      <c r="B442" s="498"/>
      <c r="C442" s="360"/>
      <c r="D442" s="451"/>
      <c r="E442" s="359"/>
      <c r="F442" s="478"/>
      <c r="G442" s="386"/>
      <c r="H442" s="200">
        <v>6050</v>
      </c>
      <c r="I442" s="166" t="s">
        <v>31</v>
      </c>
      <c r="J442" s="187"/>
      <c r="K442" s="187"/>
      <c r="L442" s="156"/>
      <c r="M442" s="100"/>
      <c r="N442" s="294"/>
      <c r="O442" s="98"/>
      <c r="P442" s="98"/>
      <c r="Q442" s="98"/>
      <c r="R442" s="98"/>
      <c r="S442" s="98"/>
      <c r="T442" s="187"/>
      <c r="U442" s="187"/>
      <c r="V442" s="187"/>
      <c r="W442" s="187"/>
      <c r="X442" s="471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71"/>
      <c r="B443" s="498"/>
      <c r="C443" s="360"/>
      <c r="D443" s="451"/>
      <c r="E443" s="359"/>
      <c r="F443" s="478"/>
      <c r="G443" s="386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71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71"/>
      <c r="B444" s="498"/>
      <c r="C444" s="360"/>
      <c r="D444" s="451"/>
      <c r="E444" s="359"/>
      <c r="F444" s="478"/>
      <c r="G444" s="386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71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71"/>
      <c r="B445" s="552"/>
      <c r="C445" s="360"/>
      <c r="D445" s="451"/>
      <c r="E445" s="359"/>
      <c r="F445" s="478"/>
      <c r="G445" s="386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71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71">
        <v>37</v>
      </c>
      <c r="B446" s="447" t="s">
        <v>209</v>
      </c>
      <c r="C446" s="360">
        <v>2020</v>
      </c>
      <c r="D446" s="360">
        <v>2022</v>
      </c>
      <c r="E446" s="359" t="s">
        <v>27</v>
      </c>
      <c r="F446" s="366">
        <v>0</v>
      </c>
      <c r="G446" s="386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6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71"/>
      <c r="B447" s="448"/>
      <c r="C447" s="360"/>
      <c r="D447" s="360"/>
      <c r="E447" s="359"/>
      <c r="F447" s="366"/>
      <c r="G447" s="386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6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71"/>
      <c r="B448" s="448"/>
      <c r="C448" s="360"/>
      <c r="D448" s="360"/>
      <c r="E448" s="359"/>
      <c r="F448" s="366"/>
      <c r="G448" s="386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6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71"/>
      <c r="B449" s="448"/>
      <c r="C449" s="360"/>
      <c r="D449" s="360"/>
      <c r="E449" s="359"/>
      <c r="F449" s="366"/>
      <c r="G449" s="386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6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71"/>
      <c r="B450" s="448"/>
      <c r="C450" s="360"/>
      <c r="D450" s="360"/>
      <c r="E450" s="359"/>
      <c r="F450" s="366"/>
      <c r="G450" s="386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6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71">
        <v>38</v>
      </c>
      <c r="B451" s="447" t="s">
        <v>135</v>
      </c>
      <c r="C451" s="360">
        <v>2020</v>
      </c>
      <c r="D451" s="360">
        <v>2022</v>
      </c>
      <c r="E451" s="359" t="s">
        <v>27</v>
      </c>
      <c r="F451" s="366">
        <f>X451</f>
        <v>0</v>
      </c>
      <c r="G451" s="386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6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71"/>
      <c r="B452" s="448"/>
      <c r="C452" s="360"/>
      <c r="D452" s="360"/>
      <c r="E452" s="359"/>
      <c r="F452" s="366"/>
      <c r="G452" s="386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6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71"/>
      <c r="B453" s="448"/>
      <c r="C453" s="360"/>
      <c r="D453" s="360"/>
      <c r="E453" s="359"/>
      <c r="F453" s="366"/>
      <c r="G453" s="386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6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71"/>
      <c r="B454" s="448"/>
      <c r="C454" s="360"/>
      <c r="D454" s="360"/>
      <c r="E454" s="359"/>
      <c r="F454" s="366"/>
      <c r="G454" s="386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6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71"/>
      <c r="B455" s="448"/>
      <c r="C455" s="360"/>
      <c r="D455" s="360"/>
      <c r="E455" s="359"/>
      <c r="F455" s="366"/>
      <c r="G455" s="386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6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71">
        <v>39</v>
      </c>
      <c r="B456" s="447" t="s">
        <v>136</v>
      </c>
      <c r="C456" s="360">
        <v>2020</v>
      </c>
      <c r="D456" s="360">
        <v>2022</v>
      </c>
      <c r="E456" s="359" t="s">
        <v>27</v>
      </c>
      <c r="F456" s="366">
        <f>X456</f>
        <v>0</v>
      </c>
      <c r="G456" s="386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6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71"/>
      <c r="B457" s="448"/>
      <c r="C457" s="360"/>
      <c r="D457" s="360"/>
      <c r="E457" s="359"/>
      <c r="F457" s="366"/>
      <c r="G457" s="386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6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71"/>
      <c r="B458" s="448"/>
      <c r="C458" s="360"/>
      <c r="D458" s="360"/>
      <c r="E458" s="359"/>
      <c r="F458" s="366"/>
      <c r="G458" s="386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6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71"/>
      <c r="B459" s="448"/>
      <c r="C459" s="360"/>
      <c r="D459" s="360"/>
      <c r="E459" s="359"/>
      <c r="F459" s="366"/>
      <c r="G459" s="386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6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71"/>
      <c r="B460" s="448"/>
      <c r="C460" s="360"/>
      <c r="D460" s="360"/>
      <c r="E460" s="359"/>
      <c r="F460" s="366"/>
      <c r="G460" s="386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6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71">
        <v>40</v>
      </c>
      <c r="B461" s="447" t="s">
        <v>166</v>
      </c>
      <c r="C461" s="372">
        <v>2019</v>
      </c>
      <c r="D461" s="372">
        <v>2022</v>
      </c>
      <c r="E461" s="373" t="s">
        <v>27</v>
      </c>
      <c r="F461" s="361">
        <f>L465</f>
        <v>0</v>
      </c>
      <c r="G461" s="365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69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71"/>
      <c r="B462" s="448"/>
      <c r="C462" s="372"/>
      <c r="D462" s="372"/>
      <c r="E462" s="373"/>
      <c r="F462" s="361"/>
      <c r="G462" s="365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69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71"/>
      <c r="B463" s="448"/>
      <c r="C463" s="372"/>
      <c r="D463" s="372"/>
      <c r="E463" s="373"/>
      <c r="F463" s="361"/>
      <c r="G463" s="365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69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71"/>
      <c r="B464" s="448"/>
      <c r="C464" s="372"/>
      <c r="D464" s="372"/>
      <c r="E464" s="373"/>
      <c r="F464" s="361"/>
      <c r="G464" s="365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69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71"/>
      <c r="B465" s="448"/>
      <c r="C465" s="372"/>
      <c r="D465" s="372"/>
      <c r="E465" s="373"/>
      <c r="F465" s="361"/>
      <c r="G465" s="365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69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71">
        <v>41</v>
      </c>
      <c r="B466" s="447" t="s">
        <v>149</v>
      </c>
      <c r="C466" s="372">
        <v>2019</v>
      </c>
      <c r="D466" s="372">
        <v>2022</v>
      </c>
      <c r="E466" s="373" t="s">
        <v>27</v>
      </c>
      <c r="F466" s="361">
        <f>X466</f>
        <v>0</v>
      </c>
      <c r="G466" s="365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69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71"/>
      <c r="B467" s="448"/>
      <c r="C467" s="372"/>
      <c r="D467" s="372"/>
      <c r="E467" s="373"/>
      <c r="F467" s="361"/>
      <c r="G467" s="365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69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71"/>
      <c r="B468" s="448"/>
      <c r="C468" s="372"/>
      <c r="D468" s="372"/>
      <c r="E468" s="373"/>
      <c r="F468" s="361"/>
      <c r="G468" s="365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69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71"/>
      <c r="B469" s="448"/>
      <c r="C469" s="372"/>
      <c r="D469" s="372"/>
      <c r="E469" s="373"/>
      <c r="F469" s="361"/>
      <c r="G469" s="365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69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71"/>
      <c r="B470" s="448"/>
      <c r="C470" s="372"/>
      <c r="D470" s="372"/>
      <c r="E470" s="373"/>
      <c r="F470" s="361"/>
      <c r="G470" s="365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69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71">
        <v>43</v>
      </c>
      <c r="B471" s="447" t="s">
        <v>110</v>
      </c>
      <c r="C471" s="449">
        <v>2017</v>
      </c>
      <c r="D471" s="449">
        <v>2025</v>
      </c>
      <c r="E471" s="470" t="s">
        <v>27</v>
      </c>
      <c r="F471" s="454">
        <f>X471</f>
        <v>0</v>
      </c>
      <c r="G471" s="473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68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71"/>
      <c r="B472" s="448"/>
      <c r="C472" s="449"/>
      <c r="D472" s="449"/>
      <c r="E472" s="470"/>
      <c r="F472" s="454"/>
      <c r="G472" s="473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68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71"/>
      <c r="B473" s="448"/>
      <c r="C473" s="449"/>
      <c r="D473" s="449"/>
      <c r="E473" s="470"/>
      <c r="F473" s="454"/>
      <c r="G473" s="473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68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71"/>
      <c r="B474" s="448"/>
      <c r="C474" s="449"/>
      <c r="D474" s="449"/>
      <c r="E474" s="470"/>
      <c r="F474" s="454"/>
      <c r="G474" s="473"/>
      <c r="H474" s="91">
        <v>6050</v>
      </c>
      <c r="I474" s="97" t="s">
        <v>121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68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71"/>
      <c r="B475" s="448"/>
      <c r="C475" s="449"/>
      <c r="D475" s="449"/>
      <c r="E475" s="470"/>
      <c r="F475" s="454"/>
      <c r="G475" s="473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68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6">
        <v>42</v>
      </c>
      <c r="B476" s="447" t="s">
        <v>173</v>
      </c>
      <c r="C476" s="380">
        <v>2021</v>
      </c>
      <c r="D476" s="389">
        <v>2022</v>
      </c>
      <c r="E476" s="359" t="s">
        <v>27</v>
      </c>
      <c r="F476" s="366">
        <f>X476</f>
        <v>0</v>
      </c>
      <c r="G476" s="386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6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7"/>
      <c r="B477" s="448"/>
      <c r="C477" s="381"/>
      <c r="D477" s="390"/>
      <c r="E477" s="359"/>
      <c r="F477" s="366"/>
      <c r="G477" s="386"/>
      <c r="H477" s="200">
        <v>6370</v>
      </c>
      <c r="I477" s="166" t="s">
        <v>177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6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7"/>
      <c r="B478" s="448"/>
      <c r="C478" s="381"/>
      <c r="D478" s="390"/>
      <c r="E478" s="359"/>
      <c r="F478" s="366"/>
      <c r="G478" s="386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6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7"/>
      <c r="B479" s="448"/>
      <c r="C479" s="381"/>
      <c r="D479" s="390"/>
      <c r="E479" s="359"/>
      <c r="F479" s="366"/>
      <c r="G479" s="386"/>
      <c r="H479" s="200"/>
      <c r="I479" s="166" t="s">
        <v>121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6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8"/>
      <c r="B480" s="468"/>
      <c r="C480" s="382"/>
      <c r="D480" s="391"/>
      <c r="E480" s="362"/>
      <c r="F480" s="366"/>
      <c r="G480" s="386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6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71">
        <v>26</v>
      </c>
      <c r="B481" s="447" t="s">
        <v>111</v>
      </c>
      <c r="C481" s="360">
        <v>2020</v>
      </c>
      <c r="D481" s="360">
        <v>2023</v>
      </c>
      <c r="E481" s="387" t="s">
        <v>27</v>
      </c>
      <c r="F481" s="366">
        <f>X481</f>
        <v>0</v>
      </c>
      <c r="G481" s="383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6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71"/>
      <c r="B482" s="448"/>
      <c r="C482" s="360"/>
      <c r="D482" s="360"/>
      <c r="E482" s="359"/>
      <c r="F482" s="366"/>
      <c r="G482" s="384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6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71"/>
      <c r="B483" s="448"/>
      <c r="C483" s="360"/>
      <c r="D483" s="360"/>
      <c r="E483" s="359"/>
      <c r="F483" s="366"/>
      <c r="G483" s="384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6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71"/>
      <c r="B484" s="448"/>
      <c r="C484" s="360"/>
      <c r="D484" s="360"/>
      <c r="E484" s="359"/>
      <c r="F484" s="366"/>
      <c r="G484" s="384"/>
      <c r="H484" s="224"/>
      <c r="I484" s="166" t="s">
        <v>122</v>
      </c>
      <c r="J484" s="223"/>
      <c r="K484" s="223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6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71"/>
      <c r="B485" s="468"/>
      <c r="C485" s="360"/>
      <c r="D485" s="360"/>
      <c r="E485" s="359"/>
      <c r="F485" s="366"/>
      <c r="G485" s="385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6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6">
        <v>36</v>
      </c>
      <c r="B486" s="439" t="s">
        <v>145</v>
      </c>
      <c r="C486" s="380">
        <v>2022</v>
      </c>
      <c r="D486" s="389">
        <v>2025</v>
      </c>
      <c r="E486" s="359" t="s">
        <v>259</v>
      </c>
      <c r="F486" s="366">
        <f>X486+85239+2135000-699460</f>
        <v>10332777</v>
      </c>
      <c r="G486" s="386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156">
        <v>1211998</v>
      </c>
      <c r="O486" s="156"/>
      <c r="P486" s="156"/>
      <c r="Q486" s="156"/>
      <c r="R486" s="187"/>
      <c r="S486" s="187"/>
      <c r="T486" s="187"/>
      <c r="U486" s="187"/>
      <c r="V486" s="187"/>
      <c r="W486" s="187"/>
      <c r="X486" s="356">
        <f>SUM(L490:W490)</f>
        <v>8811998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7"/>
      <c r="B487" s="439"/>
      <c r="C487" s="381"/>
      <c r="D487" s="390"/>
      <c r="E487" s="359"/>
      <c r="F487" s="366"/>
      <c r="G487" s="386"/>
      <c r="H487" s="200">
        <v>6370</v>
      </c>
      <c r="I487" s="155" t="s">
        <v>178</v>
      </c>
      <c r="J487" s="161"/>
      <c r="K487" s="161"/>
      <c r="L487" s="187"/>
      <c r="M487" s="156">
        <v>0</v>
      </c>
      <c r="N487" s="156">
        <v>7600000</v>
      </c>
      <c r="O487" s="187"/>
      <c r="P487" s="187"/>
      <c r="Q487" s="187"/>
      <c r="R487" s="187"/>
      <c r="S487" s="187"/>
      <c r="T487" s="187"/>
      <c r="U487" s="187"/>
      <c r="V487" s="187"/>
      <c r="W487" s="187"/>
      <c r="X487" s="356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7"/>
      <c r="B488" s="439"/>
      <c r="C488" s="381"/>
      <c r="D488" s="390"/>
      <c r="E488" s="359"/>
      <c r="F488" s="366"/>
      <c r="G488" s="386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6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7"/>
      <c r="B489" s="439"/>
      <c r="C489" s="381"/>
      <c r="D489" s="390"/>
      <c r="E489" s="359"/>
      <c r="F489" s="366"/>
      <c r="G489" s="386"/>
      <c r="H489" s="200"/>
      <c r="I489" s="166" t="s">
        <v>121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6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23.25" customHeight="1">
      <c r="A490" s="378"/>
      <c r="B490" s="440"/>
      <c r="C490" s="382"/>
      <c r="D490" s="391"/>
      <c r="E490" s="359"/>
      <c r="F490" s="366"/>
      <c r="G490" s="386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8811998</v>
      </c>
      <c r="O490" s="161">
        <f t="shared" si="153"/>
        <v>0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6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6">
        <v>37</v>
      </c>
      <c r="B491" s="441" t="s">
        <v>220</v>
      </c>
      <c r="C491" s="380">
        <v>2024</v>
      </c>
      <c r="D491" s="389">
        <v>2028</v>
      </c>
      <c r="E491" s="359" t="s">
        <v>259</v>
      </c>
      <c r="F491" s="366">
        <f>X491</f>
        <v>500000</v>
      </c>
      <c r="G491" s="386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156">
        <v>200000</v>
      </c>
      <c r="Q491" s="156">
        <v>300000</v>
      </c>
      <c r="R491" s="187"/>
      <c r="S491" s="187"/>
      <c r="T491" s="187"/>
      <c r="U491" s="187"/>
      <c r="V491" s="187"/>
      <c r="W491" s="187"/>
      <c r="X491" s="356">
        <f>SUM(L495:W495)</f>
        <v>500000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7"/>
      <c r="B492" s="441"/>
      <c r="C492" s="381"/>
      <c r="D492" s="390"/>
      <c r="E492" s="359"/>
      <c r="F492" s="366"/>
      <c r="G492" s="386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6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7"/>
      <c r="B493" s="441"/>
      <c r="C493" s="381"/>
      <c r="D493" s="390"/>
      <c r="E493" s="359"/>
      <c r="F493" s="366"/>
      <c r="G493" s="386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6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7"/>
      <c r="B494" s="441"/>
      <c r="C494" s="381"/>
      <c r="D494" s="390"/>
      <c r="E494" s="359"/>
      <c r="F494" s="366"/>
      <c r="G494" s="386"/>
      <c r="H494" s="200"/>
      <c r="I494" s="166" t="s">
        <v>121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6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25.5" customHeight="1">
      <c r="A495" s="378"/>
      <c r="B495" s="442"/>
      <c r="C495" s="382"/>
      <c r="D495" s="391"/>
      <c r="E495" s="359"/>
      <c r="F495" s="366"/>
      <c r="G495" s="386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200000</v>
      </c>
      <c r="Q495" s="161">
        <f t="shared" si="154"/>
        <v>300000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6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6">
        <v>38</v>
      </c>
      <c r="B496" s="441" t="s">
        <v>258</v>
      </c>
      <c r="C496" s="380">
        <v>2025</v>
      </c>
      <c r="D496" s="389">
        <v>2026</v>
      </c>
      <c r="E496" s="359" t="s">
        <v>259</v>
      </c>
      <c r="F496" s="366">
        <f>X496</f>
        <v>90000</v>
      </c>
      <c r="G496" s="386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1000</v>
      </c>
      <c r="O496" s="156">
        <v>89000</v>
      </c>
      <c r="P496" s="276"/>
      <c r="Q496" s="276"/>
      <c r="R496" s="187"/>
      <c r="S496" s="187"/>
      <c r="T496" s="187"/>
      <c r="U496" s="187"/>
      <c r="V496" s="187"/>
      <c r="W496" s="187"/>
      <c r="X496" s="356">
        <f>SUM(L500:W500)</f>
        <v>90000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7"/>
      <c r="B497" s="441"/>
      <c r="C497" s="381"/>
      <c r="D497" s="390"/>
      <c r="E497" s="359"/>
      <c r="F497" s="366"/>
      <c r="G497" s="386"/>
      <c r="H497" s="200"/>
      <c r="I497" s="166" t="s">
        <v>31</v>
      </c>
      <c r="J497" s="161"/>
      <c r="K497" s="161"/>
      <c r="L497" s="187"/>
      <c r="M497" s="278"/>
      <c r="N497" s="278"/>
      <c r="O497" s="187"/>
      <c r="P497" s="277"/>
      <c r="Q497" s="277"/>
      <c r="R497" s="187"/>
      <c r="S497" s="187"/>
      <c r="T497" s="187"/>
      <c r="U497" s="187"/>
      <c r="V497" s="187"/>
      <c r="W497" s="187"/>
      <c r="X497" s="356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7"/>
      <c r="B498" s="441"/>
      <c r="C498" s="381"/>
      <c r="D498" s="390"/>
      <c r="E498" s="359"/>
      <c r="F498" s="366"/>
      <c r="G498" s="386"/>
      <c r="H498" s="200"/>
      <c r="I498" s="166" t="s">
        <v>30</v>
      </c>
      <c r="J498" s="161"/>
      <c r="K498" s="161"/>
      <c r="L498" s="187"/>
      <c r="M498" s="242"/>
      <c r="N498" s="242"/>
      <c r="O498" s="187"/>
      <c r="P498" s="187"/>
      <c r="Q498" s="187"/>
      <c r="R498" s="187"/>
      <c r="S498" s="187"/>
      <c r="T498" s="187"/>
      <c r="U498" s="187"/>
      <c r="V498" s="187"/>
      <c r="W498" s="187"/>
      <c r="X498" s="356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7"/>
      <c r="B499" s="441"/>
      <c r="C499" s="381"/>
      <c r="D499" s="390"/>
      <c r="E499" s="359"/>
      <c r="F499" s="366"/>
      <c r="G499" s="386"/>
      <c r="H499" s="200"/>
      <c r="I499" s="166" t="s">
        <v>121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6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22.5" customHeight="1">
      <c r="A500" s="378"/>
      <c r="B500" s="442"/>
      <c r="C500" s="382"/>
      <c r="D500" s="391"/>
      <c r="E500" s="359"/>
      <c r="F500" s="366"/>
      <c r="G500" s="386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1000</v>
      </c>
      <c r="O500" s="350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6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6">
        <v>39</v>
      </c>
      <c r="B501" s="441" t="s">
        <v>260</v>
      </c>
      <c r="C501" s="380">
        <v>2025</v>
      </c>
      <c r="D501" s="389">
        <v>2026</v>
      </c>
      <c r="E501" s="359" t="s">
        <v>259</v>
      </c>
      <c r="F501" s="366">
        <f>X501</f>
        <v>50000</v>
      </c>
      <c r="G501" s="386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1000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6">
        <f t="shared" ref="X501" si="156">SUM(L505:W505)</f>
        <v>50000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7"/>
      <c r="B502" s="441"/>
      <c r="C502" s="381"/>
      <c r="D502" s="390"/>
      <c r="E502" s="359"/>
      <c r="F502" s="366"/>
      <c r="G502" s="386"/>
      <c r="H502" s="200"/>
      <c r="I502" s="166" t="s">
        <v>31</v>
      </c>
      <c r="J502" s="161"/>
      <c r="K502" s="161"/>
      <c r="L502" s="187"/>
      <c r="M502" s="187"/>
      <c r="N502" s="278"/>
      <c r="O502" s="187"/>
      <c r="P502" s="187"/>
      <c r="Q502" s="187"/>
      <c r="R502" s="187"/>
      <c r="S502" s="187"/>
      <c r="T502" s="187"/>
      <c r="U502" s="187"/>
      <c r="V502" s="187"/>
      <c r="W502" s="187"/>
      <c r="X502" s="356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7"/>
      <c r="B503" s="441"/>
      <c r="C503" s="381"/>
      <c r="D503" s="390"/>
      <c r="E503" s="359"/>
      <c r="F503" s="366"/>
      <c r="G503" s="386"/>
      <c r="H503" s="200"/>
      <c r="I503" s="166" t="s">
        <v>30</v>
      </c>
      <c r="J503" s="161"/>
      <c r="K503" s="161"/>
      <c r="L503" s="187"/>
      <c r="M503" s="187"/>
      <c r="N503" s="242"/>
      <c r="O503" s="187"/>
      <c r="P503" s="187"/>
      <c r="Q503" s="187"/>
      <c r="R503" s="187"/>
      <c r="S503" s="187"/>
      <c r="T503" s="187"/>
      <c r="U503" s="187"/>
      <c r="V503" s="187"/>
      <c r="W503" s="187"/>
      <c r="X503" s="356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7"/>
      <c r="B504" s="441"/>
      <c r="C504" s="381"/>
      <c r="D504" s="390"/>
      <c r="E504" s="359"/>
      <c r="F504" s="366"/>
      <c r="G504" s="386"/>
      <c r="H504" s="200"/>
      <c r="I504" s="166" t="s">
        <v>121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6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8"/>
      <c r="B505" s="442"/>
      <c r="C505" s="382"/>
      <c r="D505" s="391"/>
      <c r="E505" s="359"/>
      <c r="F505" s="366"/>
      <c r="G505" s="386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1000</v>
      </c>
      <c r="O505" s="350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6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6">
        <v>29</v>
      </c>
      <c r="B506" s="441"/>
      <c r="C506" s="380">
        <v>2021</v>
      </c>
      <c r="D506" s="389">
        <v>2023</v>
      </c>
      <c r="E506" s="359" t="s">
        <v>27</v>
      </c>
      <c r="F506" s="366">
        <v>0</v>
      </c>
      <c r="G506" s="386">
        <v>60016</v>
      </c>
      <c r="H506" s="200"/>
      <c r="I506" s="183" t="s">
        <v>28</v>
      </c>
      <c r="J506" s="161"/>
      <c r="K506" s="161"/>
      <c r="L506" s="156"/>
      <c r="M506" s="210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6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7"/>
      <c r="B507" s="441"/>
      <c r="C507" s="381"/>
      <c r="D507" s="390"/>
      <c r="E507" s="359"/>
      <c r="F507" s="366"/>
      <c r="G507" s="386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6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7"/>
      <c r="B508" s="441"/>
      <c r="C508" s="381"/>
      <c r="D508" s="390"/>
      <c r="E508" s="359"/>
      <c r="F508" s="366"/>
      <c r="G508" s="386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6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7"/>
      <c r="B509" s="441"/>
      <c r="C509" s="381"/>
      <c r="D509" s="390"/>
      <c r="E509" s="359"/>
      <c r="F509" s="366"/>
      <c r="G509" s="386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6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8"/>
      <c r="B510" s="442"/>
      <c r="C510" s="382"/>
      <c r="D510" s="391"/>
      <c r="E510" s="359"/>
      <c r="F510" s="366"/>
      <c r="G510" s="386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6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80">
        <v>41</v>
      </c>
      <c r="B511" s="568" t="s">
        <v>190</v>
      </c>
      <c r="C511" s="372">
        <v>2024</v>
      </c>
      <c r="D511" s="372">
        <v>2032</v>
      </c>
      <c r="E511" s="359" t="s">
        <v>259</v>
      </c>
      <c r="F511" s="361">
        <f>X511+5000-5000</f>
        <v>0</v>
      </c>
      <c r="G511" s="365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69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81"/>
      <c r="B512" s="569"/>
      <c r="C512" s="372"/>
      <c r="D512" s="372"/>
      <c r="E512" s="359"/>
      <c r="F512" s="361"/>
      <c r="G512" s="365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69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81"/>
      <c r="B513" s="569"/>
      <c r="C513" s="372"/>
      <c r="D513" s="372"/>
      <c r="E513" s="359"/>
      <c r="F513" s="361"/>
      <c r="G513" s="365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69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81"/>
      <c r="B514" s="569"/>
      <c r="C514" s="372"/>
      <c r="D514" s="372"/>
      <c r="E514" s="359"/>
      <c r="F514" s="361"/>
      <c r="G514" s="365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69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82"/>
      <c r="B515" s="570"/>
      <c r="C515" s="372"/>
      <c r="D515" s="372"/>
      <c r="E515" s="359"/>
      <c r="F515" s="361"/>
      <c r="G515" s="365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69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80">
        <v>40</v>
      </c>
      <c r="B516" s="571" t="s">
        <v>167</v>
      </c>
      <c r="C516" s="372">
        <v>2021</v>
      </c>
      <c r="D516" s="372">
        <v>2032</v>
      </c>
      <c r="E516" s="359" t="s">
        <v>259</v>
      </c>
      <c r="F516" s="361">
        <f>71955+X516</f>
        <v>1421955</v>
      </c>
      <c r="G516" s="365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69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81"/>
      <c r="B517" s="572"/>
      <c r="C517" s="372"/>
      <c r="D517" s="372"/>
      <c r="E517" s="359"/>
      <c r="F517" s="361"/>
      <c r="G517" s="365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69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81"/>
      <c r="B518" s="572"/>
      <c r="C518" s="372"/>
      <c r="D518" s="372"/>
      <c r="E518" s="359"/>
      <c r="F518" s="361"/>
      <c r="G518" s="365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69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81"/>
      <c r="B519" s="572"/>
      <c r="C519" s="372"/>
      <c r="D519" s="372"/>
      <c r="E519" s="359"/>
      <c r="F519" s="361"/>
      <c r="G519" s="365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69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9" customHeight="1">
      <c r="A520" s="582"/>
      <c r="B520" s="573"/>
      <c r="C520" s="372"/>
      <c r="D520" s="372"/>
      <c r="E520" s="359"/>
      <c r="F520" s="361"/>
      <c r="G520" s="365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69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61">
        <v>31</v>
      </c>
      <c r="B521" s="379" t="s">
        <v>156</v>
      </c>
      <c r="C521" s="372">
        <v>2019</v>
      </c>
      <c r="D521" s="372">
        <v>2023</v>
      </c>
      <c r="E521" s="359" t="s">
        <v>259</v>
      </c>
      <c r="F521" s="361">
        <f>X521</f>
        <v>0</v>
      </c>
      <c r="G521" s="365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69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62"/>
      <c r="B522" s="379"/>
      <c r="C522" s="372"/>
      <c r="D522" s="372"/>
      <c r="E522" s="359"/>
      <c r="F522" s="361"/>
      <c r="G522" s="365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69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62"/>
      <c r="B523" s="379"/>
      <c r="C523" s="372"/>
      <c r="D523" s="372"/>
      <c r="E523" s="359"/>
      <c r="F523" s="361"/>
      <c r="G523" s="365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69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62"/>
      <c r="B524" s="379"/>
      <c r="C524" s="372"/>
      <c r="D524" s="372"/>
      <c r="E524" s="359"/>
      <c r="F524" s="361"/>
      <c r="G524" s="365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69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3"/>
      <c r="B525" s="379"/>
      <c r="C525" s="372"/>
      <c r="D525" s="372"/>
      <c r="E525" s="359"/>
      <c r="F525" s="361"/>
      <c r="G525" s="365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69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4">
        <v>52</v>
      </c>
      <c r="B526" s="447" t="s">
        <v>150</v>
      </c>
      <c r="C526" s="372">
        <v>2020</v>
      </c>
      <c r="D526" s="372">
        <v>2023</v>
      </c>
      <c r="E526" s="359" t="s">
        <v>259</v>
      </c>
      <c r="F526" s="361">
        <f>X526</f>
        <v>0</v>
      </c>
      <c r="G526" s="365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69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4"/>
      <c r="B527" s="448"/>
      <c r="C527" s="372"/>
      <c r="D527" s="372"/>
      <c r="E527" s="359"/>
      <c r="F527" s="361"/>
      <c r="G527" s="365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69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4"/>
      <c r="B528" s="448"/>
      <c r="C528" s="372"/>
      <c r="D528" s="372"/>
      <c r="E528" s="359"/>
      <c r="F528" s="361"/>
      <c r="G528" s="365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69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4"/>
      <c r="B529" s="448"/>
      <c r="C529" s="372"/>
      <c r="D529" s="372"/>
      <c r="E529" s="359"/>
      <c r="F529" s="361"/>
      <c r="G529" s="365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69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4"/>
      <c r="B530" s="448"/>
      <c r="C530" s="372"/>
      <c r="D530" s="372"/>
      <c r="E530" s="359"/>
      <c r="F530" s="361"/>
      <c r="G530" s="365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69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4">
        <v>53</v>
      </c>
      <c r="B531" s="447" t="s">
        <v>137</v>
      </c>
      <c r="C531" s="360">
        <v>2020</v>
      </c>
      <c r="D531" s="360">
        <v>2022</v>
      </c>
      <c r="E531" s="359" t="s">
        <v>259</v>
      </c>
      <c r="F531" s="366">
        <f>X531</f>
        <v>0</v>
      </c>
      <c r="G531" s="386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6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4"/>
      <c r="B532" s="448"/>
      <c r="C532" s="360"/>
      <c r="D532" s="360"/>
      <c r="E532" s="359"/>
      <c r="F532" s="366"/>
      <c r="G532" s="386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6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4"/>
      <c r="B533" s="448"/>
      <c r="C533" s="360"/>
      <c r="D533" s="360"/>
      <c r="E533" s="359"/>
      <c r="F533" s="366"/>
      <c r="G533" s="386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6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4"/>
      <c r="B534" s="448"/>
      <c r="C534" s="360"/>
      <c r="D534" s="360"/>
      <c r="E534" s="359"/>
      <c r="F534" s="366"/>
      <c r="G534" s="386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6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4"/>
      <c r="B535" s="448"/>
      <c r="C535" s="360"/>
      <c r="D535" s="360"/>
      <c r="E535" s="359"/>
      <c r="F535" s="366"/>
      <c r="G535" s="386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6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4">
        <v>54</v>
      </c>
      <c r="B536" s="464" t="s">
        <v>158</v>
      </c>
      <c r="C536" s="360">
        <v>2021</v>
      </c>
      <c r="D536" s="360">
        <v>2022</v>
      </c>
      <c r="E536" s="359" t="s">
        <v>259</v>
      </c>
      <c r="F536" s="366">
        <v>0</v>
      </c>
      <c r="G536" s="386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6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4"/>
      <c r="B537" s="465"/>
      <c r="C537" s="360"/>
      <c r="D537" s="360"/>
      <c r="E537" s="359"/>
      <c r="F537" s="366"/>
      <c r="G537" s="386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6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4"/>
      <c r="B538" s="465"/>
      <c r="C538" s="360"/>
      <c r="D538" s="360"/>
      <c r="E538" s="359"/>
      <c r="F538" s="366"/>
      <c r="G538" s="386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6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4"/>
      <c r="B539" s="465"/>
      <c r="C539" s="360"/>
      <c r="D539" s="360"/>
      <c r="E539" s="359"/>
      <c r="F539" s="366"/>
      <c r="G539" s="386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6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4"/>
      <c r="B540" s="465"/>
      <c r="C540" s="360"/>
      <c r="D540" s="360"/>
      <c r="E540" s="359"/>
      <c r="F540" s="366"/>
      <c r="G540" s="386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6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4">
        <v>55</v>
      </c>
      <c r="B541" s="447" t="s">
        <v>157</v>
      </c>
      <c r="C541" s="360">
        <v>2021</v>
      </c>
      <c r="D541" s="360">
        <v>2022</v>
      </c>
      <c r="E541" s="359" t="s">
        <v>259</v>
      </c>
      <c r="F541" s="366">
        <v>0</v>
      </c>
      <c r="G541" s="386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6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4"/>
      <c r="B542" s="448"/>
      <c r="C542" s="360"/>
      <c r="D542" s="360"/>
      <c r="E542" s="359"/>
      <c r="F542" s="366"/>
      <c r="G542" s="386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6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4"/>
      <c r="B543" s="448"/>
      <c r="C543" s="360"/>
      <c r="D543" s="360"/>
      <c r="E543" s="359"/>
      <c r="F543" s="366"/>
      <c r="G543" s="386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6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4"/>
      <c r="B544" s="448"/>
      <c r="C544" s="360"/>
      <c r="D544" s="360"/>
      <c r="E544" s="359"/>
      <c r="F544" s="366"/>
      <c r="G544" s="386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6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4"/>
      <c r="B545" s="448"/>
      <c r="C545" s="360"/>
      <c r="D545" s="360"/>
      <c r="E545" s="359"/>
      <c r="F545" s="366"/>
      <c r="G545" s="386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6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4">
        <v>56</v>
      </c>
      <c r="B546" s="447" t="s">
        <v>159</v>
      </c>
      <c r="C546" s="360">
        <v>2021</v>
      </c>
      <c r="D546" s="360">
        <v>2022</v>
      </c>
      <c r="E546" s="359" t="s">
        <v>259</v>
      </c>
      <c r="F546" s="366">
        <v>0</v>
      </c>
      <c r="G546" s="386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6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4"/>
      <c r="B547" s="448"/>
      <c r="C547" s="360"/>
      <c r="D547" s="360"/>
      <c r="E547" s="359"/>
      <c r="F547" s="366"/>
      <c r="G547" s="386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6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4"/>
      <c r="B548" s="448"/>
      <c r="C548" s="360"/>
      <c r="D548" s="360"/>
      <c r="E548" s="359"/>
      <c r="F548" s="366"/>
      <c r="G548" s="386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6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4"/>
      <c r="B549" s="448"/>
      <c r="C549" s="360"/>
      <c r="D549" s="360"/>
      <c r="E549" s="359"/>
      <c r="F549" s="366"/>
      <c r="G549" s="386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6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4"/>
      <c r="B550" s="448"/>
      <c r="C550" s="360"/>
      <c r="D550" s="360"/>
      <c r="E550" s="359"/>
      <c r="F550" s="366"/>
      <c r="G550" s="386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6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4">
        <v>57</v>
      </c>
      <c r="B551" s="447" t="s">
        <v>160</v>
      </c>
      <c r="C551" s="360">
        <v>2021</v>
      </c>
      <c r="D551" s="360">
        <v>2022</v>
      </c>
      <c r="E551" s="359" t="s">
        <v>259</v>
      </c>
      <c r="F551" s="366">
        <v>0</v>
      </c>
      <c r="G551" s="386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6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4"/>
      <c r="B552" s="448"/>
      <c r="C552" s="360"/>
      <c r="D552" s="360"/>
      <c r="E552" s="359"/>
      <c r="F552" s="366"/>
      <c r="G552" s="386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6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4"/>
      <c r="B553" s="448"/>
      <c r="C553" s="360"/>
      <c r="D553" s="360"/>
      <c r="E553" s="359"/>
      <c r="F553" s="366"/>
      <c r="G553" s="386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6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4"/>
      <c r="B554" s="448"/>
      <c r="C554" s="360"/>
      <c r="D554" s="360"/>
      <c r="E554" s="359"/>
      <c r="F554" s="366"/>
      <c r="G554" s="386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6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4"/>
      <c r="B555" s="448"/>
      <c r="C555" s="360"/>
      <c r="D555" s="360"/>
      <c r="E555" s="359"/>
      <c r="F555" s="366"/>
      <c r="G555" s="386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6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71">
        <v>41</v>
      </c>
      <c r="B556" s="375" t="s">
        <v>191</v>
      </c>
      <c r="C556" s="388">
        <v>2022</v>
      </c>
      <c r="D556" s="388">
        <v>2024</v>
      </c>
      <c r="E556" s="359" t="s">
        <v>259</v>
      </c>
      <c r="F556" s="475">
        <f>X556</f>
        <v>0</v>
      </c>
      <c r="G556" s="408">
        <v>60016</v>
      </c>
      <c r="H556" s="88">
        <v>6050</v>
      </c>
      <c r="I556" s="211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69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71"/>
      <c r="B557" s="375"/>
      <c r="C557" s="388"/>
      <c r="D557" s="388"/>
      <c r="E557" s="359"/>
      <c r="F557" s="476"/>
      <c r="G557" s="409"/>
      <c r="H557" s="225"/>
      <c r="I557" s="211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69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71"/>
      <c r="B558" s="375"/>
      <c r="C558" s="388"/>
      <c r="D558" s="388"/>
      <c r="E558" s="359"/>
      <c r="F558" s="476"/>
      <c r="G558" s="409"/>
      <c r="H558" s="88"/>
      <c r="I558" s="211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69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71"/>
      <c r="B559" s="375"/>
      <c r="C559" s="388"/>
      <c r="D559" s="388"/>
      <c r="E559" s="359"/>
      <c r="F559" s="476"/>
      <c r="G559" s="409"/>
      <c r="H559" s="88"/>
      <c r="I559" s="211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69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71"/>
      <c r="B560" s="375"/>
      <c r="C560" s="388"/>
      <c r="D560" s="388"/>
      <c r="E560" s="359"/>
      <c r="F560" s="477"/>
      <c r="G560" s="410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69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61">
        <v>42</v>
      </c>
      <c r="B561" s="375" t="s">
        <v>195</v>
      </c>
      <c r="C561" s="372">
        <v>2023</v>
      </c>
      <c r="D561" s="372">
        <v>2024</v>
      </c>
      <c r="E561" s="359" t="s">
        <v>259</v>
      </c>
      <c r="F561" s="467"/>
      <c r="G561" s="365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7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69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62"/>
      <c r="B562" s="375"/>
      <c r="C562" s="372"/>
      <c r="D562" s="372"/>
      <c r="E562" s="359"/>
      <c r="F562" s="467"/>
      <c r="G562" s="365"/>
      <c r="H562" s="90"/>
      <c r="I562" s="61" t="s">
        <v>196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69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62"/>
      <c r="B563" s="375"/>
      <c r="C563" s="372"/>
      <c r="D563" s="372"/>
      <c r="E563" s="359"/>
      <c r="F563" s="467"/>
      <c r="G563" s="365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69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62"/>
      <c r="B564" s="375"/>
      <c r="C564" s="372"/>
      <c r="D564" s="372"/>
      <c r="E564" s="359"/>
      <c r="F564" s="467"/>
      <c r="G564" s="365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69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3"/>
      <c r="B565" s="375"/>
      <c r="C565" s="372"/>
      <c r="D565" s="372"/>
      <c r="E565" s="359"/>
      <c r="F565" s="467"/>
      <c r="G565" s="365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69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61">
        <v>43</v>
      </c>
      <c r="B566" s="375" t="s">
        <v>198</v>
      </c>
      <c r="C566" s="372">
        <v>2023</v>
      </c>
      <c r="D566" s="372">
        <v>2024</v>
      </c>
      <c r="E566" s="359" t="s">
        <v>259</v>
      </c>
      <c r="F566" s="467"/>
      <c r="G566" s="365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7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69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62"/>
      <c r="B567" s="375"/>
      <c r="C567" s="372"/>
      <c r="D567" s="372"/>
      <c r="E567" s="359"/>
      <c r="F567" s="467"/>
      <c r="G567" s="365"/>
      <c r="H567" s="90">
        <v>6050</v>
      </c>
      <c r="I567" s="61" t="s">
        <v>199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69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62"/>
      <c r="B568" s="375"/>
      <c r="C568" s="372"/>
      <c r="D568" s="372"/>
      <c r="E568" s="359"/>
      <c r="F568" s="467"/>
      <c r="G568" s="365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69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62"/>
      <c r="B569" s="375"/>
      <c r="C569" s="372"/>
      <c r="D569" s="372"/>
      <c r="E569" s="359"/>
      <c r="F569" s="467"/>
      <c r="G569" s="365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69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3"/>
      <c r="B570" s="375"/>
      <c r="C570" s="372"/>
      <c r="D570" s="372"/>
      <c r="E570" s="359"/>
      <c r="F570" s="467"/>
      <c r="G570" s="365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69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61">
        <v>44</v>
      </c>
      <c r="B571" s="375" t="s">
        <v>240</v>
      </c>
      <c r="C571" s="372">
        <v>2023</v>
      </c>
      <c r="D571" s="372">
        <v>2024</v>
      </c>
      <c r="E571" s="359" t="s">
        <v>259</v>
      </c>
      <c r="F571" s="361"/>
      <c r="G571" s="365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69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62"/>
      <c r="B572" s="375"/>
      <c r="C572" s="372"/>
      <c r="D572" s="372"/>
      <c r="E572" s="359"/>
      <c r="F572" s="361"/>
      <c r="G572" s="365"/>
      <c r="H572" s="90"/>
      <c r="I572" s="61" t="s">
        <v>224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69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62"/>
      <c r="B573" s="375"/>
      <c r="C573" s="372"/>
      <c r="D573" s="372"/>
      <c r="E573" s="359"/>
      <c r="F573" s="361"/>
      <c r="G573" s="365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69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62"/>
      <c r="B574" s="375"/>
      <c r="C574" s="372"/>
      <c r="D574" s="372"/>
      <c r="E574" s="359"/>
      <c r="F574" s="361"/>
      <c r="G574" s="365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69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11.25" hidden="1" customHeight="1">
      <c r="A575" s="463"/>
      <c r="B575" s="375"/>
      <c r="C575" s="372"/>
      <c r="D575" s="372"/>
      <c r="E575" s="359"/>
      <c r="F575" s="361"/>
      <c r="G575" s="365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69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71">
        <v>41</v>
      </c>
      <c r="B576" s="374" t="s">
        <v>97</v>
      </c>
      <c r="C576" s="372">
        <v>2018</v>
      </c>
      <c r="D576" s="567">
        <v>2026</v>
      </c>
      <c r="E576" s="359" t="s">
        <v>259</v>
      </c>
      <c r="F576" s="361">
        <f>227300+X576</f>
        <v>377300</v>
      </c>
      <c r="G576" s="365">
        <v>63003</v>
      </c>
      <c r="H576" s="90">
        <v>6050</v>
      </c>
      <c r="I576" s="211" t="s">
        <v>28</v>
      </c>
      <c r="J576" s="84">
        <v>57810</v>
      </c>
      <c r="K576" s="62"/>
      <c r="L576" s="62"/>
      <c r="M576" s="84">
        <v>0</v>
      </c>
      <c r="N576" s="84"/>
      <c r="O576" s="84">
        <v>150000</v>
      </c>
      <c r="P576" s="244"/>
      <c r="Q576" s="84"/>
      <c r="R576" s="84"/>
      <c r="S576" s="84"/>
      <c r="T576" s="84"/>
      <c r="U576" s="84"/>
      <c r="V576" s="84"/>
      <c r="W576" s="84"/>
      <c r="X576" s="369">
        <f>SUM(K580:W580)</f>
        <v>150000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71"/>
      <c r="B577" s="374"/>
      <c r="C577" s="372"/>
      <c r="D577" s="567"/>
      <c r="E577" s="359"/>
      <c r="F577" s="361"/>
      <c r="G577" s="365"/>
      <c r="H577" s="90"/>
      <c r="I577" s="211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69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71"/>
      <c r="B578" s="374"/>
      <c r="C578" s="372"/>
      <c r="D578" s="567"/>
      <c r="E578" s="359"/>
      <c r="F578" s="361"/>
      <c r="G578" s="365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69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71"/>
      <c r="B579" s="374"/>
      <c r="C579" s="372"/>
      <c r="D579" s="567"/>
      <c r="E579" s="359"/>
      <c r="F579" s="361"/>
      <c r="G579" s="365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69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71"/>
      <c r="B580" s="374"/>
      <c r="C580" s="372"/>
      <c r="D580" s="567"/>
      <c r="E580" s="359"/>
      <c r="F580" s="361"/>
      <c r="G580" s="365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150000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69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71">
        <v>42</v>
      </c>
      <c r="B581" s="374" t="s">
        <v>95</v>
      </c>
      <c r="C581" s="417">
        <v>2017</v>
      </c>
      <c r="D581" s="417">
        <v>2033</v>
      </c>
      <c r="E581" s="359" t="s">
        <v>259</v>
      </c>
      <c r="F581" s="414">
        <f>9237968+X581+2063150.72</f>
        <v>14543392.720000001</v>
      </c>
      <c r="G581" s="402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4"/>
      <c r="N581" s="87">
        <v>818510</v>
      </c>
      <c r="O581" s="87">
        <v>1001695</v>
      </c>
      <c r="P581" s="84">
        <v>819791</v>
      </c>
      <c r="Q581" s="84">
        <v>102278</v>
      </c>
      <c r="R581" s="84">
        <v>100000</v>
      </c>
      <c r="S581" s="84">
        <v>100000</v>
      </c>
      <c r="T581" s="84">
        <v>100000</v>
      </c>
      <c r="U581" s="84">
        <v>100000</v>
      </c>
      <c r="V581" s="84">
        <v>100000</v>
      </c>
      <c r="W581" s="62"/>
      <c r="X581" s="414">
        <f>SUM(L585:W585)</f>
        <v>3242274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71"/>
      <c r="B582" s="374"/>
      <c r="C582" s="417"/>
      <c r="D582" s="417"/>
      <c r="E582" s="359"/>
      <c r="F582" s="414"/>
      <c r="G582" s="402"/>
      <c r="H582" s="86"/>
      <c r="I582" s="58" t="s">
        <v>31</v>
      </c>
      <c r="J582" s="71"/>
      <c r="K582" s="71"/>
      <c r="L582" s="71"/>
      <c r="M582" s="310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4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71"/>
      <c r="B583" s="374"/>
      <c r="C583" s="417"/>
      <c r="D583" s="417"/>
      <c r="E583" s="359"/>
      <c r="F583" s="414"/>
      <c r="G583" s="402"/>
      <c r="H583" s="86"/>
      <c r="I583" s="58" t="s">
        <v>30</v>
      </c>
      <c r="J583" s="71"/>
      <c r="K583" s="71"/>
      <c r="L583" s="71"/>
      <c r="M583" s="311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4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71"/>
      <c r="B584" s="374"/>
      <c r="C584" s="417"/>
      <c r="D584" s="417"/>
      <c r="E584" s="359"/>
      <c r="F584" s="414"/>
      <c r="G584" s="402"/>
      <c r="H584" s="86">
        <v>6050</v>
      </c>
      <c r="I584" s="58" t="s">
        <v>33</v>
      </c>
      <c r="J584" s="71"/>
      <c r="K584" s="71"/>
      <c r="L584" s="87"/>
      <c r="M584" s="311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4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9.75" customHeight="1">
      <c r="A585" s="371"/>
      <c r="B585" s="374"/>
      <c r="C585" s="417"/>
      <c r="D585" s="417"/>
      <c r="E585" s="359"/>
      <c r="F585" s="414"/>
      <c r="G585" s="402"/>
      <c r="H585" s="86"/>
      <c r="I585" s="59" t="s">
        <v>26</v>
      </c>
      <c r="J585" s="213">
        <f t="shared" ref="J585:V585" si="181">SUM(J581:J584)</f>
        <v>792379</v>
      </c>
      <c r="K585" s="238">
        <f t="shared" si="181"/>
        <v>1440880</v>
      </c>
      <c r="L585" s="213">
        <f t="shared" si="181"/>
        <v>0</v>
      </c>
      <c r="M585" s="312">
        <f t="shared" si="181"/>
        <v>0</v>
      </c>
      <c r="N585" s="321">
        <f t="shared" si="181"/>
        <v>818510</v>
      </c>
      <c r="O585" s="321">
        <f t="shared" si="181"/>
        <v>1001695</v>
      </c>
      <c r="P585" s="321">
        <f t="shared" si="181"/>
        <v>819791</v>
      </c>
      <c r="Q585" s="213">
        <f t="shared" si="181"/>
        <v>102278</v>
      </c>
      <c r="R585" s="213">
        <f t="shared" si="181"/>
        <v>100000</v>
      </c>
      <c r="S585" s="213">
        <f t="shared" si="181"/>
        <v>100000</v>
      </c>
      <c r="T585" s="213">
        <f t="shared" si="181"/>
        <v>100000</v>
      </c>
      <c r="U585" s="213">
        <f t="shared" si="181"/>
        <v>100000</v>
      </c>
      <c r="V585" s="213">
        <f t="shared" si="181"/>
        <v>100000</v>
      </c>
      <c r="W585" s="213"/>
      <c r="X585" s="414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71">
        <v>43</v>
      </c>
      <c r="B586" s="374" t="s">
        <v>141</v>
      </c>
      <c r="C586" s="407">
        <v>2021</v>
      </c>
      <c r="D586" s="407">
        <v>2028</v>
      </c>
      <c r="E586" s="359" t="s">
        <v>259</v>
      </c>
      <c r="F586" s="398">
        <f>61652+X586</f>
        <v>2561652</v>
      </c>
      <c r="G586" s="365">
        <v>70005</v>
      </c>
      <c r="H586" s="89">
        <v>6050</v>
      </c>
      <c r="I586" s="60" t="s">
        <v>28</v>
      </c>
      <c r="J586" s="77"/>
      <c r="K586" s="77"/>
      <c r="L586" s="212"/>
      <c r="M586" s="317"/>
      <c r="N586" s="323"/>
      <c r="O586" s="323"/>
      <c r="P586" s="87">
        <v>870000</v>
      </c>
      <c r="Q586" s="319">
        <v>1630000</v>
      </c>
      <c r="R586" s="77"/>
      <c r="S586" s="77"/>
      <c r="T586" s="77"/>
      <c r="U586" s="77"/>
      <c r="V586" s="77"/>
      <c r="W586" s="77"/>
      <c r="X586" s="369">
        <f>SUM(L590:W590)</f>
        <v>2500000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71"/>
      <c r="B587" s="374"/>
      <c r="C587" s="407"/>
      <c r="D587" s="407"/>
      <c r="E587" s="359"/>
      <c r="F587" s="398"/>
      <c r="G587" s="365"/>
      <c r="H587" s="89"/>
      <c r="I587" s="60" t="s">
        <v>31</v>
      </c>
      <c r="J587" s="70"/>
      <c r="K587" s="70"/>
      <c r="L587" s="70"/>
      <c r="M587" s="318"/>
      <c r="N587" s="70"/>
      <c r="O587" s="70"/>
      <c r="P587" s="70"/>
      <c r="Q587" s="320"/>
      <c r="R587" s="70"/>
      <c r="S587" s="70"/>
      <c r="T587" s="70"/>
      <c r="U587" s="70"/>
      <c r="V587" s="70"/>
      <c r="W587" s="70"/>
      <c r="X587" s="369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71"/>
      <c r="B588" s="374"/>
      <c r="C588" s="407"/>
      <c r="D588" s="407"/>
      <c r="E588" s="359"/>
      <c r="F588" s="398"/>
      <c r="G588" s="365"/>
      <c r="H588" s="89"/>
      <c r="I588" s="60" t="s">
        <v>30</v>
      </c>
      <c r="J588" s="70"/>
      <c r="K588" s="70"/>
      <c r="L588" s="70"/>
      <c r="M588" s="318"/>
      <c r="N588" s="70"/>
      <c r="O588" s="70"/>
      <c r="P588" s="70"/>
      <c r="Q588" s="320"/>
      <c r="R588" s="70"/>
      <c r="S588" s="70"/>
      <c r="T588" s="70"/>
      <c r="U588" s="70"/>
      <c r="V588" s="70"/>
      <c r="W588" s="70"/>
      <c r="X588" s="369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71"/>
      <c r="B589" s="374"/>
      <c r="C589" s="407"/>
      <c r="D589" s="407"/>
      <c r="E589" s="359"/>
      <c r="F589" s="398"/>
      <c r="G589" s="365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2"/>
      <c r="O589" s="322"/>
      <c r="P589" s="322"/>
      <c r="Q589" s="70"/>
      <c r="R589" s="70"/>
      <c r="S589" s="70"/>
      <c r="T589" s="70"/>
      <c r="U589" s="70"/>
      <c r="V589" s="70"/>
      <c r="W589" s="70"/>
      <c r="X589" s="369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3.5" customHeight="1">
      <c r="A590" s="371"/>
      <c r="B590" s="374"/>
      <c r="C590" s="407"/>
      <c r="D590" s="407"/>
      <c r="E590" s="359"/>
      <c r="F590" s="398"/>
      <c r="G590" s="365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870000</v>
      </c>
      <c r="Q590" s="66">
        <f t="shared" ref="Q590:T590" si="183">SUM(Q586:Q589)</f>
        <v>1630000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69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71">
        <v>44</v>
      </c>
      <c r="B591" s="374" t="s">
        <v>104</v>
      </c>
      <c r="C591" s="407">
        <v>2019</v>
      </c>
      <c r="D591" s="407">
        <v>2030</v>
      </c>
      <c r="E591" s="359" t="s">
        <v>259</v>
      </c>
      <c r="F591" s="398">
        <f>63000+X591</f>
        <v>2463000</v>
      </c>
      <c r="G591" s="365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4"/>
      <c r="O591" s="244"/>
      <c r="P591" s="244"/>
      <c r="Q591" s="87">
        <v>500000</v>
      </c>
      <c r="R591" s="87">
        <v>1500000</v>
      </c>
      <c r="S591" s="87">
        <v>400000</v>
      </c>
      <c r="T591" s="71"/>
      <c r="U591" s="71"/>
      <c r="V591" s="71"/>
      <c r="W591" s="71"/>
      <c r="X591" s="369">
        <f>SUM(L595:W595)</f>
        <v>2400000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71"/>
      <c r="B592" s="374"/>
      <c r="C592" s="407"/>
      <c r="D592" s="407"/>
      <c r="E592" s="359"/>
      <c r="F592" s="398"/>
      <c r="G592" s="365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69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71"/>
      <c r="B593" s="374"/>
      <c r="C593" s="407"/>
      <c r="D593" s="407"/>
      <c r="E593" s="359"/>
      <c r="F593" s="398"/>
      <c r="G593" s="365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69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71"/>
      <c r="B594" s="374"/>
      <c r="C594" s="407"/>
      <c r="D594" s="407"/>
      <c r="E594" s="359"/>
      <c r="F594" s="398"/>
      <c r="G594" s="365"/>
      <c r="H594" s="89"/>
      <c r="I594" s="60" t="s">
        <v>92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69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71"/>
      <c r="B595" s="374"/>
      <c r="C595" s="407"/>
      <c r="D595" s="407"/>
      <c r="E595" s="359"/>
      <c r="F595" s="398"/>
      <c r="G595" s="365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500000</v>
      </c>
      <c r="R595" s="66">
        <f t="shared" si="186"/>
        <v>1500000</v>
      </c>
      <c r="S595" s="66">
        <f t="shared" si="186"/>
        <v>400000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69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71"/>
      <c r="B596" s="374" t="s">
        <v>221</v>
      </c>
      <c r="C596" s="360">
        <v>2024</v>
      </c>
      <c r="D596" s="360">
        <v>2025</v>
      </c>
      <c r="E596" s="359" t="s">
        <v>259</v>
      </c>
      <c r="F596" s="403">
        <f>X596</f>
        <v>0</v>
      </c>
      <c r="G596" s="386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3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69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71"/>
      <c r="B597" s="374"/>
      <c r="C597" s="360"/>
      <c r="D597" s="360"/>
      <c r="E597" s="359"/>
      <c r="F597" s="403"/>
      <c r="G597" s="386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69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71"/>
      <c r="B598" s="374"/>
      <c r="C598" s="360"/>
      <c r="D598" s="360"/>
      <c r="E598" s="359"/>
      <c r="F598" s="403"/>
      <c r="G598" s="386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69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71"/>
      <c r="B599" s="374"/>
      <c r="C599" s="360"/>
      <c r="D599" s="360"/>
      <c r="E599" s="359"/>
      <c r="F599" s="403"/>
      <c r="G599" s="386"/>
      <c r="H599" s="200"/>
      <c r="I599" s="155" t="s">
        <v>92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69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71"/>
      <c r="B600" s="374"/>
      <c r="C600" s="360"/>
      <c r="D600" s="360"/>
      <c r="E600" s="359"/>
      <c r="F600" s="403"/>
      <c r="G600" s="386"/>
      <c r="H600" s="200"/>
      <c r="I600" s="222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69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71">
        <v>51</v>
      </c>
      <c r="B601" s="379" t="s">
        <v>76</v>
      </c>
      <c r="C601" s="466">
        <v>2018</v>
      </c>
      <c r="D601" s="466">
        <v>2024</v>
      </c>
      <c r="E601" s="359" t="s">
        <v>259</v>
      </c>
      <c r="F601" s="454">
        <v>0</v>
      </c>
      <c r="G601" s="455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68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71"/>
      <c r="B602" s="379"/>
      <c r="C602" s="466"/>
      <c r="D602" s="466"/>
      <c r="E602" s="359"/>
      <c r="F602" s="454"/>
      <c r="G602" s="455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68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71"/>
      <c r="B603" s="379"/>
      <c r="C603" s="466"/>
      <c r="D603" s="466"/>
      <c r="E603" s="359"/>
      <c r="F603" s="454"/>
      <c r="G603" s="455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68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71"/>
      <c r="B604" s="379"/>
      <c r="C604" s="466"/>
      <c r="D604" s="466"/>
      <c r="E604" s="359"/>
      <c r="F604" s="454"/>
      <c r="G604" s="455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68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71"/>
      <c r="B605" s="379"/>
      <c r="C605" s="466"/>
      <c r="D605" s="466"/>
      <c r="E605" s="359"/>
      <c r="F605" s="454"/>
      <c r="G605" s="455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68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71">
        <v>39</v>
      </c>
      <c r="B606" s="374" t="s">
        <v>197</v>
      </c>
      <c r="C606" s="372">
        <v>2024</v>
      </c>
      <c r="D606" s="372">
        <v>2024</v>
      </c>
      <c r="E606" s="359" t="s">
        <v>259</v>
      </c>
      <c r="F606" s="398">
        <f>X606</f>
        <v>0</v>
      </c>
      <c r="G606" s="365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69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71"/>
      <c r="B607" s="374"/>
      <c r="C607" s="372"/>
      <c r="D607" s="372"/>
      <c r="E607" s="359"/>
      <c r="F607" s="398"/>
      <c r="G607" s="365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69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71"/>
      <c r="B608" s="374"/>
      <c r="C608" s="372"/>
      <c r="D608" s="372"/>
      <c r="E608" s="359"/>
      <c r="F608" s="398"/>
      <c r="G608" s="365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69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71"/>
      <c r="B609" s="374"/>
      <c r="C609" s="372"/>
      <c r="D609" s="372"/>
      <c r="E609" s="359"/>
      <c r="F609" s="398"/>
      <c r="G609" s="365"/>
      <c r="H609" s="90"/>
      <c r="I609" s="61" t="s">
        <v>174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69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71"/>
      <c r="B610" s="374"/>
      <c r="C610" s="372"/>
      <c r="D610" s="372"/>
      <c r="E610" s="359"/>
      <c r="F610" s="398"/>
      <c r="G610" s="365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69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71">
        <v>40</v>
      </c>
      <c r="B611" s="379" t="s">
        <v>175</v>
      </c>
      <c r="C611" s="407">
        <v>2020</v>
      </c>
      <c r="D611" s="372">
        <v>2023</v>
      </c>
      <c r="E611" s="359" t="s">
        <v>259</v>
      </c>
      <c r="F611" s="398"/>
      <c r="G611" s="365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69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71"/>
      <c r="B612" s="379"/>
      <c r="C612" s="407"/>
      <c r="D612" s="372"/>
      <c r="E612" s="359"/>
      <c r="F612" s="398"/>
      <c r="G612" s="365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69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71"/>
      <c r="B613" s="379"/>
      <c r="C613" s="407"/>
      <c r="D613" s="372"/>
      <c r="E613" s="359"/>
      <c r="F613" s="398"/>
      <c r="G613" s="365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69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71"/>
      <c r="B614" s="379"/>
      <c r="C614" s="407"/>
      <c r="D614" s="372"/>
      <c r="E614" s="359"/>
      <c r="F614" s="398"/>
      <c r="G614" s="365"/>
      <c r="H614" s="89"/>
      <c r="I614" s="61" t="s">
        <v>174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69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71"/>
      <c r="B615" s="379"/>
      <c r="C615" s="407"/>
      <c r="D615" s="372"/>
      <c r="E615" s="359"/>
      <c r="F615" s="398"/>
      <c r="G615" s="365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69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71">
        <v>45</v>
      </c>
      <c r="B616" s="374" t="s">
        <v>188</v>
      </c>
      <c r="C616" s="372">
        <v>2023</v>
      </c>
      <c r="D616" s="372">
        <v>2025</v>
      </c>
      <c r="E616" s="359" t="s">
        <v>259</v>
      </c>
      <c r="F616" s="398">
        <f>240000+X616+1276230</f>
        <v>2794668</v>
      </c>
      <c r="G616" s="365">
        <v>70007</v>
      </c>
      <c r="H616" s="90">
        <v>6050</v>
      </c>
      <c r="I616" s="60" t="s">
        <v>28</v>
      </c>
      <c r="J616" s="65"/>
      <c r="K616" s="65"/>
      <c r="L616" s="87"/>
      <c r="M616" s="326"/>
      <c r="N616" s="326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69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71"/>
      <c r="B617" s="374"/>
      <c r="C617" s="372"/>
      <c r="D617" s="372"/>
      <c r="E617" s="359"/>
      <c r="F617" s="398"/>
      <c r="G617" s="365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69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71"/>
      <c r="B618" s="374"/>
      <c r="C618" s="372"/>
      <c r="D618" s="372"/>
      <c r="E618" s="359"/>
      <c r="F618" s="398"/>
      <c r="G618" s="365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69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71"/>
      <c r="B619" s="374"/>
      <c r="C619" s="372"/>
      <c r="D619" s="372"/>
      <c r="E619" s="359"/>
      <c r="F619" s="398"/>
      <c r="G619" s="365"/>
      <c r="H619" s="90">
        <v>6370</v>
      </c>
      <c r="I619" s="61" t="s">
        <v>189</v>
      </c>
      <c r="J619" s="62"/>
      <c r="K619" s="62"/>
      <c r="L619" s="71">
        <v>0</v>
      </c>
      <c r="M619" s="326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69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12" customHeight="1">
      <c r="A620" s="371"/>
      <c r="B620" s="374"/>
      <c r="C620" s="372"/>
      <c r="D620" s="372"/>
      <c r="E620" s="359"/>
      <c r="F620" s="398"/>
      <c r="G620" s="365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69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71">
        <v>46</v>
      </c>
      <c r="B621" s="575" t="s">
        <v>237</v>
      </c>
      <c r="C621" s="372">
        <v>2020</v>
      </c>
      <c r="D621" s="372">
        <v>2030</v>
      </c>
      <c r="E621" s="359" t="s">
        <v>259</v>
      </c>
      <c r="F621" s="398">
        <f>7543278+X621</f>
        <v>8843278</v>
      </c>
      <c r="G621" s="365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87">
        <v>800000</v>
      </c>
      <c r="S621" s="87">
        <v>500000</v>
      </c>
      <c r="T621" s="71"/>
      <c r="U621" s="70"/>
      <c r="V621" s="70"/>
      <c r="W621" s="70"/>
      <c r="X621" s="369">
        <f>SUM(L625:W625)</f>
        <v>1300000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71"/>
      <c r="B622" s="575"/>
      <c r="C622" s="372"/>
      <c r="D622" s="372"/>
      <c r="E622" s="359"/>
      <c r="F622" s="398"/>
      <c r="G622" s="365"/>
      <c r="H622" s="90"/>
      <c r="I622" s="60" t="s">
        <v>172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69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71"/>
      <c r="B623" s="575"/>
      <c r="C623" s="372"/>
      <c r="D623" s="372"/>
      <c r="E623" s="359"/>
      <c r="F623" s="398"/>
      <c r="G623" s="365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69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71"/>
      <c r="B624" s="575"/>
      <c r="C624" s="372"/>
      <c r="D624" s="372"/>
      <c r="E624" s="359"/>
      <c r="F624" s="398"/>
      <c r="G624" s="365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69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12" customHeight="1">
      <c r="A625" s="371"/>
      <c r="B625" s="575"/>
      <c r="C625" s="372"/>
      <c r="D625" s="372"/>
      <c r="E625" s="359"/>
      <c r="F625" s="398"/>
      <c r="G625" s="365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800000</v>
      </c>
      <c r="S625" s="66">
        <f t="shared" si="189"/>
        <v>500000</v>
      </c>
      <c r="T625" s="66"/>
      <c r="U625" s="66"/>
      <c r="V625" s="66"/>
      <c r="W625" s="66"/>
      <c r="X625" s="369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71">
        <v>47</v>
      </c>
      <c r="B626" s="374" t="s">
        <v>252</v>
      </c>
      <c r="C626" s="372">
        <v>2024</v>
      </c>
      <c r="D626" s="372">
        <v>2026</v>
      </c>
      <c r="E626" s="359" t="s">
        <v>259</v>
      </c>
      <c r="F626" s="398">
        <f>X626</f>
        <v>0</v>
      </c>
      <c r="G626" s="365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69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71"/>
      <c r="B627" s="374"/>
      <c r="C627" s="372"/>
      <c r="D627" s="372"/>
      <c r="E627" s="359"/>
      <c r="F627" s="398"/>
      <c r="G627" s="365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69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71"/>
      <c r="B628" s="374"/>
      <c r="C628" s="372"/>
      <c r="D628" s="372"/>
      <c r="E628" s="359"/>
      <c r="F628" s="398"/>
      <c r="G628" s="365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69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71"/>
      <c r="B629" s="374"/>
      <c r="C629" s="372"/>
      <c r="D629" s="372"/>
      <c r="E629" s="359"/>
      <c r="F629" s="398"/>
      <c r="G629" s="365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69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71"/>
      <c r="B630" s="374"/>
      <c r="C630" s="372"/>
      <c r="D630" s="372"/>
      <c r="E630" s="359"/>
      <c r="F630" s="398"/>
      <c r="G630" s="365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69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customHeight="1">
      <c r="A631" s="566">
        <v>47</v>
      </c>
      <c r="B631" s="374" t="s">
        <v>222</v>
      </c>
      <c r="C631" s="407">
        <v>2019</v>
      </c>
      <c r="D631" s="372">
        <v>2027</v>
      </c>
      <c r="E631" s="359" t="s">
        <v>259</v>
      </c>
      <c r="F631" s="460">
        <f>44273+X631+2200-46473</f>
        <v>0</v>
      </c>
      <c r="G631" s="365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326">
        <v>0</v>
      </c>
      <c r="O631" s="326">
        <v>0</v>
      </c>
      <c r="P631" s="335">
        <v>0</v>
      </c>
      <c r="Q631" s="70"/>
      <c r="R631" s="87"/>
      <c r="S631" s="70"/>
      <c r="T631" s="70"/>
      <c r="U631" s="70"/>
      <c r="V631" s="70"/>
      <c r="W631" s="70"/>
      <c r="X631" s="369">
        <f>SUM(L635:W635)</f>
        <v>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customHeight="1">
      <c r="A632" s="566"/>
      <c r="B632" s="374"/>
      <c r="C632" s="407"/>
      <c r="D632" s="372"/>
      <c r="E632" s="359"/>
      <c r="F632" s="460"/>
      <c r="G632" s="365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69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customHeight="1">
      <c r="A633" s="566"/>
      <c r="B633" s="374"/>
      <c r="C633" s="407"/>
      <c r="D633" s="372"/>
      <c r="E633" s="359"/>
      <c r="F633" s="460"/>
      <c r="G633" s="365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69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customHeight="1">
      <c r="A634" s="566"/>
      <c r="B634" s="374"/>
      <c r="C634" s="407"/>
      <c r="D634" s="372"/>
      <c r="E634" s="359"/>
      <c r="F634" s="460"/>
      <c r="G634" s="365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69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12" customHeight="1">
      <c r="A635" s="566"/>
      <c r="B635" s="374"/>
      <c r="C635" s="407"/>
      <c r="D635" s="372"/>
      <c r="E635" s="359"/>
      <c r="F635" s="460"/>
      <c r="G635" s="365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69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5">
        <v>48</v>
      </c>
      <c r="B636" s="399" t="s">
        <v>261</v>
      </c>
      <c r="C636" s="426">
        <v>2025</v>
      </c>
      <c r="D636" s="372">
        <v>2026</v>
      </c>
      <c r="E636" s="359" t="s">
        <v>259</v>
      </c>
      <c r="F636" s="398">
        <f>X636</f>
        <v>70000</v>
      </c>
      <c r="G636" s="411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69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6"/>
      <c r="B637" s="400"/>
      <c r="C637" s="427"/>
      <c r="D637" s="372"/>
      <c r="E637" s="359"/>
      <c r="F637" s="398"/>
      <c r="G637" s="412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69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6"/>
      <c r="B638" s="400"/>
      <c r="C638" s="427"/>
      <c r="D638" s="372"/>
      <c r="E638" s="359"/>
      <c r="F638" s="398"/>
      <c r="G638" s="412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69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12.75" customHeight="1">
      <c r="A639" s="396"/>
      <c r="B639" s="400"/>
      <c r="C639" s="427"/>
      <c r="D639" s="372"/>
      <c r="E639" s="359"/>
      <c r="F639" s="398"/>
      <c r="G639" s="412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69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7"/>
      <c r="B640" s="401"/>
      <c r="C640" s="428"/>
      <c r="D640" s="372"/>
      <c r="E640" s="359"/>
      <c r="F640" s="398"/>
      <c r="G640" s="413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69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5">
        <v>53</v>
      </c>
      <c r="B641" s="399" t="s">
        <v>176</v>
      </c>
      <c r="C641" s="426">
        <v>2020</v>
      </c>
      <c r="D641" s="372">
        <v>2024</v>
      </c>
      <c r="E641" s="359" t="s">
        <v>259</v>
      </c>
      <c r="F641" s="398">
        <f>X641</f>
        <v>0</v>
      </c>
      <c r="G641" s="411">
        <v>80101</v>
      </c>
      <c r="H641" s="90">
        <v>6050</v>
      </c>
      <c r="I641" s="61" t="s">
        <v>132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69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6"/>
      <c r="B642" s="400"/>
      <c r="C642" s="427"/>
      <c r="D642" s="372"/>
      <c r="E642" s="359"/>
      <c r="F642" s="398"/>
      <c r="G642" s="412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69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6"/>
      <c r="B643" s="400"/>
      <c r="C643" s="427"/>
      <c r="D643" s="372"/>
      <c r="E643" s="359"/>
      <c r="F643" s="398"/>
      <c r="G643" s="412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69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6"/>
      <c r="B644" s="400"/>
      <c r="C644" s="427"/>
      <c r="D644" s="372"/>
      <c r="E644" s="359"/>
      <c r="F644" s="398"/>
      <c r="G644" s="412"/>
      <c r="H644" s="90"/>
      <c r="I644" s="61" t="s">
        <v>131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69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7"/>
      <c r="B645" s="401"/>
      <c r="C645" s="428"/>
      <c r="D645" s="372"/>
      <c r="E645" s="359"/>
      <c r="F645" s="398"/>
      <c r="G645" s="413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69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5">
        <v>49</v>
      </c>
      <c r="B646" s="399" t="s">
        <v>227</v>
      </c>
      <c r="C646" s="426">
        <v>2023</v>
      </c>
      <c r="D646" s="372">
        <v>2025</v>
      </c>
      <c r="E646" s="359" t="s">
        <v>259</v>
      </c>
      <c r="F646" s="406">
        <f>80000+X646+1379078</f>
        <v>3824078</v>
      </c>
      <c r="G646" s="411">
        <v>80101</v>
      </c>
      <c r="H646" s="302">
        <v>6050</v>
      </c>
      <c r="I646" s="61" t="s">
        <v>28</v>
      </c>
      <c r="J646" s="62"/>
      <c r="K646" s="62"/>
      <c r="L646" s="87"/>
      <c r="M646" s="324"/>
      <c r="N646" s="164">
        <v>510000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5">
        <f>SUM(L650:W650)</f>
        <v>2365000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6"/>
      <c r="B647" s="400"/>
      <c r="C647" s="427"/>
      <c r="D647" s="372"/>
      <c r="E647" s="359"/>
      <c r="F647" s="406"/>
      <c r="G647" s="412"/>
      <c r="H647" s="303">
        <v>6370</v>
      </c>
      <c r="I647" s="61" t="s">
        <v>234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5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6"/>
      <c r="B648" s="400"/>
      <c r="C648" s="427"/>
      <c r="D648" s="372"/>
      <c r="E648" s="359"/>
      <c r="F648" s="406"/>
      <c r="G648" s="412"/>
      <c r="H648" s="303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5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6"/>
      <c r="B649" s="400"/>
      <c r="C649" s="427"/>
      <c r="D649" s="372"/>
      <c r="E649" s="359"/>
      <c r="F649" s="406"/>
      <c r="G649" s="412"/>
      <c r="H649" s="303"/>
      <c r="I649" s="61" t="s">
        <v>133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5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12.75" customHeight="1">
      <c r="A650" s="397"/>
      <c r="B650" s="401"/>
      <c r="C650" s="428"/>
      <c r="D650" s="372"/>
      <c r="E650" s="359"/>
      <c r="F650" s="406"/>
      <c r="G650" s="413"/>
      <c r="H650" s="304"/>
      <c r="I650" s="296" t="s">
        <v>26</v>
      </c>
      <c r="J650" s="297"/>
      <c r="K650" s="297"/>
      <c r="L650" s="297">
        <f>SUM(L646:L649)</f>
        <v>0</v>
      </c>
      <c r="M650" s="217">
        <f>SUM(M646:M649)</f>
        <v>0</v>
      </c>
      <c r="N650" s="217">
        <f t="shared" ref="N650:P650" si="194">SUM(N646:N649)</f>
        <v>2365000</v>
      </c>
      <c r="O650" s="297">
        <f t="shared" si="194"/>
        <v>0</v>
      </c>
      <c r="P650" s="297">
        <f t="shared" si="194"/>
        <v>0</v>
      </c>
      <c r="Q650" s="297"/>
      <c r="R650" s="297"/>
      <c r="S650" s="297"/>
      <c r="T650" s="297"/>
      <c r="U650" s="297"/>
      <c r="V650" s="297"/>
      <c r="W650" s="297"/>
      <c r="X650" s="415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76">
        <v>46</v>
      </c>
      <c r="B651" s="433" t="s">
        <v>117</v>
      </c>
      <c r="C651" s="426">
        <v>2021</v>
      </c>
      <c r="D651" s="372">
        <v>2023</v>
      </c>
      <c r="E651" s="359" t="s">
        <v>259</v>
      </c>
      <c r="F651" s="406">
        <f>X651</f>
        <v>0</v>
      </c>
      <c r="G651" s="411">
        <v>80195</v>
      </c>
      <c r="H651" s="411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5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77"/>
      <c r="B652" s="434"/>
      <c r="C652" s="427"/>
      <c r="D652" s="372"/>
      <c r="E652" s="359"/>
      <c r="F652" s="406"/>
      <c r="G652" s="412"/>
      <c r="H652" s="412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5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77"/>
      <c r="B653" s="434"/>
      <c r="C653" s="427"/>
      <c r="D653" s="372"/>
      <c r="E653" s="359"/>
      <c r="F653" s="406"/>
      <c r="G653" s="412"/>
      <c r="H653" s="412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5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77"/>
      <c r="B654" s="434"/>
      <c r="C654" s="427"/>
      <c r="D654" s="372"/>
      <c r="E654" s="359"/>
      <c r="F654" s="406"/>
      <c r="G654" s="412"/>
      <c r="H654" s="412"/>
      <c r="I654" s="61" t="s">
        <v>133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5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78"/>
      <c r="B655" s="435"/>
      <c r="C655" s="428"/>
      <c r="D655" s="372"/>
      <c r="E655" s="359"/>
      <c r="F655" s="406"/>
      <c r="G655" s="413"/>
      <c r="H655" s="413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5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71">
        <v>50</v>
      </c>
      <c r="B656" s="375" t="s">
        <v>63</v>
      </c>
      <c r="C656" s="446">
        <v>2017</v>
      </c>
      <c r="D656" s="416">
        <v>2034</v>
      </c>
      <c r="E656" s="359" t="s">
        <v>259</v>
      </c>
      <c r="F656" s="554">
        <f>X656+1243191+79574</f>
        <v>3072765</v>
      </c>
      <c r="G656" s="453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164">
        <v>170000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164">
        <v>360000</v>
      </c>
      <c r="V656" s="164">
        <v>170000</v>
      </c>
      <c r="W656" s="164">
        <v>170000</v>
      </c>
      <c r="X656" s="517">
        <f>SUM(L660:W660)</f>
        <v>1750000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71"/>
      <c r="B657" s="375"/>
      <c r="C657" s="446"/>
      <c r="D657" s="416"/>
      <c r="E657" s="359"/>
      <c r="F657" s="554"/>
      <c r="G657" s="453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17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71"/>
      <c r="B658" s="375"/>
      <c r="C658" s="446"/>
      <c r="D658" s="416"/>
      <c r="E658" s="359"/>
      <c r="F658" s="554"/>
      <c r="G658" s="453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17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71"/>
      <c r="B659" s="375"/>
      <c r="C659" s="446"/>
      <c r="D659" s="416"/>
      <c r="E659" s="359"/>
      <c r="F659" s="554"/>
      <c r="G659" s="453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17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13.9" customHeight="1">
      <c r="A660" s="371"/>
      <c r="B660" s="375"/>
      <c r="C660" s="446"/>
      <c r="D660" s="416"/>
      <c r="E660" s="359"/>
      <c r="F660" s="554"/>
      <c r="G660" s="453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170000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360000</v>
      </c>
      <c r="V660" s="161">
        <f t="shared" si="196"/>
        <v>170000</v>
      </c>
      <c r="W660" s="161">
        <f t="shared" si="196"/>
        <v>170000</v>
      </c>
      <c r="X660" s="517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71">
        <v>51</v>
      </c>
      <c r="B661" s="375" t="s">
        <v>64</v>
      </c>
      <c r="C661" s="407">
        <v>2015</v>
      </c>
      <c r="D661" s="407">
        <v>2033</v>
      </c>
      <c r="E661" s="359" t="s">
        <v>259</v>
      </c>
      <c r="F661" s="406">
        <f>61259+34652+X661+37800</f>
        <v>973711</v>
      </c>
      <c r="G661" s="365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20000</v>
      </c>
      <c r="O661" s="84">
        <v>100000</v>
      </c>
      <c r="P661" s="84">
        <v>90000</v>
      </c>
      <c r="Q661" s="84">
        <v>130000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5">
        <f>SUM(L665:W665)</f>
        <v>840000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71"/>
      <c r="B662" s="375"/>
      <c r="C662" s="407"/>
      <c r="D662" s="407"/>
      <c r="E662" s="359"/>
      <c r="F662" s="406"/>
      <c r="G662" s="365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5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71"/>
      <c r="B663" s="375"/>
      <c r="C663" s="407"/>
      <c r="D663" s="407"/>
      <c r="E663" s="359"/>
      <c r="F663" s="406"/>
      <c r="G663" s="365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5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12" customHeight="1">
      <c r="A664" s="371"/>
      <c r="B664" s="375"/>
      <c r="C664" s="407"/>
      <c r="D664" s="407"/>
      <c r="E664" s="359"/>
      <c r="F664" s="406"/>
      <c r="G664" s="365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5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3.9" customHeight="1">
      <c r="A665" s="371"/>
      <c r="B665" s="375"/>
      <c r="C665" s="407"/>
      <c r="D665" s="407"/>
      <c r="E665" s="359"/>
      <c r="F665" s="406"/>
      <c r="G665" s="365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20000</v>
      </c>
      <c r="O665" s="65">
        <f t="shared" si="197"/>
        <v>100000</v>
      </c>
      <c r="P665" s="65">
        <f t="shared" si="197"/>
        <v>90000</v>
      </c>
      <c r="Q665" s="65">
        <f t="shared" si="197"/>
        <v>130000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5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5">
        <v>57</v>
      </c>
      <c r="B666" s="399" t="s">
        <v>225</v>
      </c>
      <c r="C666" s="436">
        <v>2023</v>
      </c>
      <c r="D666" s="436">
        <v>2024</v>
      </c>
      <c r="E666" s="359" t="s">
        <v>259</v>
      </c>
      <c r="F666" s="560"/>
      <c r="G666" s="430">
        <v>90015</v>
      </c>
      <c r="H666" s="88">
        <v>6050</v>
      </c>
      <c r="I666" s="211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5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6"/>
      <c r="B667" s="400"/>
      <c r="C667" s="437"/>
      <c r="D667" s="437"/>
      <c r="E667" s="359"/>
      <c r="F667" s="561"/>
      <c r="G667" s="431"/>
      <c r="H667" s="88"/>
      <c r="I667" s="211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5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6"/>
      <c r="B668" s="400"/>
      <c r="C668" s="437"/>
      <c r="D668" s="437"/>
      <c r="E668" s="359"/>
      <c r="F668" s="561"/>
      <c r="G668" s="431"/>
      <c r="H668" s="88"/>
      <c r="I668" s="211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5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6"/>
      <c r="B669" s="400"/>
      <c r="C669" s="437"/>
      <c r="D669" s="437"/>
      <c r="E669" s="359"/>
      <c r="F669" s="561"/>
      <c r="G669" s="431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5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7"/>
      <c r="B670" s="401"/>
      <c r="C670" s="438"/>
      <c r="D670" s="438"/>
      <c r="E670" s="359"/>
      <c r="F670" s="562"/>
      <c r="G670" s="432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5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5">
        <v>58</v>
      </c>
      <c r="B671" s="399" t="s">
        <v>223</v>
      </c>
      <c r="C671" s="436">
        <v>2023</v>
      </c>
      <c r="D671" s="436">
        <v>2024</v>
      </c>
      <c r="E671" s="359" t="s">
        <v>259</v>
      </c>
      <c r="F671" s="560"/>
      <c r="G671" s="430">
        <v>90015</v>
      </c>
      <c r="H671" s="88">
        <v>6050</v>
      </c>
      <c r="I671" s="211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5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6"/>
      <c r="B672" s="400"/>
      <c r="C672" s="437"/>
      <c r="D672" s="437"/>
      <c r="E672" s="359"/>
      <c r="F672" s="561"/>
      <c r="G672" s="431"/>
      <c r="H672" s="88"/>
      <c r="I672" s="211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5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6"/>
      <c r="B673" s="400"/>
      <c r="C673" s="437"/>
      <c r="D673" s="437"/>
      <c r="E673" s="359"/>
      <c r="F673" s="561"/>
      <c r="G673" s="431"/>
      <c r="H673" s="88"/>
      <c r="I673" s="211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5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6"/>
      <c r="B674" s="400"/>
      <c r="C674" s="437"/>
      <c r="D674" s="437"/>
      <c r="E674" s="359"/>
      <c r="F674" s="561"/>
      <c r="G674" s="431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5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7"/>
      <c r="B675" s="401"/>
      <c r="C675" s="438"/>
      <c r="D675" s="438"/>
      <c r="E675" s="359"/>
      <c r="F675" s="562"/>
      <c r="G675" s="432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5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71">
        <v>52</v>
      </c>
      <c r="B676" s="418" t="s">
        <v>144</v>
      </c>
      <c r="C676" s="407">
        <v>2014</v>
      </c>
      <c r="D676" s="407">
        <v>2025</v>
      </c>
      <c r="E676" s="359" t="s">
        <v>259</v>
      </c>
      <c r="F676" s="361">
        <v>507034</v>
      </c>
      <c r="G676" s="394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8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5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71"/>
      <c r="B677" s="418"/>
      <c r="C677" s="407"/>
      <c r="D677" s="407"/>
      <c r="E677" s="359"/>
      <c r="F677" s="361"/>
      <c r="G677" s="394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5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71"/>
      <c r="B678" s="418"/>
      <c r="C678" s="407"/>
      <c r="D678" s="407"/>
      <c r="E678" s="359"/>
      <c r="F678" s="361"/>
      <c r="G678" s="394"/>
      <c r="H678" s="88"/>
      <c r="I678" s="211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5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71"/>
      <c r="B679" s="418"/>
      <c r="C679" s="407"/>
      <c r="D679" s="407"/>
      <c r="E679" s="359"/>
      <c r="F679" s="361"/>
      <c r="G679" s="394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5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4.25" customHeight="1">
      <c r="A680" s="371"/>
      <c r="B680" s="418"/>
      <c r="C680" s="407"/>
      <c r="D680" s="407"/>
      <c r="E680" s="359"/>
      <c r="F680" s="361"/>
      <c r="G680" s="394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3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5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5">
        <v>74</v>
      </c>
      <c r="B681" s="420" t="s">
        <v>107</v>
      </c>
      <c r="C681" s="436">
        <v>2014</v>
      </c>
      <c r="D681" s="563">
        <v>2027</v>
      </c>
      <c r="E681" s="505" t="s">
        <v>27</v>
      </c>
      <c r="F681" s="560">
        <f>X681</f>
        <v>0</v>
      </c>
      <c r="G681" s="408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7"/>
      <c r="Q681" s="237"/>
      <c r="R681" s="70"/>
      <c r="S681" s="70"/>
      <c r="T681" s="70"/>
      <c r="U681" s="70"/>
      <c r="V681" s="70"/>
      <c r="W681" s="70"/>
      <c r="X681" s="518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6"/>
      <c r="B682" s="421"/>
      <c r="C682" s="437"/>
      <c r="D682" s="564"/>
      <c r="E682" s="506"/>
      <c r="F682" s="561"/>
      <c r="G682" s="409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9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6"/>
      <c r="B683" s="421"/>
      <c r="C683" s="437"/>
      <c r="D683" s="564"/>
      <c r="E683" s="506"/>
      <c r="F683" s="561"/>
      <c r="G683" s="409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9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6"/>
      <c r="B684" s="421"/>
      <c r="C684" s="437"/>
      <c r="D684" s="564"/>
      <c r="E684" s="506"/>
      <c r="F684" s="561"/>
      <c r="G684" s="409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9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6"/>
      <c r="B685" s="421"/>
      <c r="C685" s="437"/>
      <c r="D685" s="564"/>
      <c r="E685" s="506"/>
      <c r="F685" s="561"/>
      <c r="G685" s="409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9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17.25" hidden="1" customHeight="1">
      <c r="A686" s="397"/>
      <c r="B686" s="422"/>
      <c r="C686" s="438"/>
      <c r="D686" s="565"/>
      <c r="E686" s="507"/>
      <c r="F686" s="562"/>
      <c r="G686" s="410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20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71">
        <v>53</v>
      </c>
      <c r="B687" s="418" t="s">
        <v>233</v>
      </c>
      <c r="C687" s="417">
        <v>2024</v>
      </c>
      <c r="D687" s="372">
        <v>2025</v>
      </c>
      <c r="E687" s="359" t="s">
        <v>259</v>
      </c>
      <c r="F687" s="406">
        <f>X687+1391273</f>
        <v>7264237</v>
      </c>
      <c r="G687" s="402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7"/>
      <c r="N687" s="87">
        <v>200000</v>
      </c>
      <c r="O687" s="244"/>
      <c r="P687" s="84"/>
      <c r="Q687" s="84"/>
      <c r="R687" s="62"/>
      <c r="S687" s="62"/>
      <c r="T687" s="62"/>
      <c r="U687" s="62"/>
      <c r="V687" s="62"/>
      <c r="W687" s="62"/>
      <c r="X687" s="415">
        <f>SUM(L691:W691)</f>
        <v>5872964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71"/>
      <c r="B688" s="418"/>
      <c r="C688" s="417"/>
      <c r="D688" s="372"/>
      <c r="E688" s="359"/>
      <c r="F688" s="406"/>
      <c r="G688" s="402"/>
      <c r="H688" s="86">
        <v>6370</v>
      </c>
      <c r="I688" s="58" t="s">
        <v>234</v>
      </c>
      <c r="J688" s="62"/>
      <c r="K688" s="62"/>
      <c r="L688" s="84"/>
      <c r="M688" s="84"/>
      <c r="N688" s="84">
        <v>5668964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15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71"/>
      <c r="B689" s="418"/>
      <c r="C689" s="417"/>
      <c r="D689" s="372"/>
      <c r="E689" s="359"/>
      <c r="F689" s="406"/>
      <c r="G689" s="402"/>
      <c r="H689" s="86">
        <v>6050</v>
      </c>
      <c r="I689" s="58" t="s">
        <v>235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15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71"/>
      <c r="B690" s="418"/>
      <c r="C690" s="417"/>
      <c r="D690" s="372"/>
      <c r="E690" s="359"/>
      <c r="F690" s="406"/>
      <c r="G690" s="402"/>
      <c r="H690" s="86"/>
      <c r="I690" s="61" t="s">
        <v>70</v>
      </c>
      <c r="J690" s="62"/>
      <c r="K690" s="84">
        <v>35000</v>
      </c>
      <c r="L690" s="84"/>
      <c r="M690" s="327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15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2.75" customHeight="1">
      <c r="A691" s="371"/>
      <c r="B691" s="418"/>
      <c r="C691" s="417"/>
      <c r="D691" s="372"/>
      <c r="E691" s="359"/>
      <c r="F691" s="406"/>
      <c r="G691" s="402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5872964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15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5">
        <v>59</v>
      </c>
      <c r="B692" s="459" t="s">
        <v>248</v>
      </c>
      <c r="C692" s="392">
        <v>2024</v>
      </c>
      <c r="D692" s="393">
        <v>2025</v>
      </c>
      <c r="E692" s="405" t="s">
        <v>236</v>
      </c>
      <c r="F692" s="406">
        <f>X692</f>
        <v>0</v>
      </c>
      <c r="G692" s="558">
        <v>90095</v>
      </c>
      <c r="H692" s="328">
        <v>6230</v>
      </c>
      <c r="I692" s="329" t="s">
        <v>247</v>
      </c>
      <c r="J692" s="327">
        <v>50950</v>
      </c>
      <c r="K692" s="330"/>
      <c r="L692" s="327"/>
      <c r="M692" s="327">
        <v>0</v>
      </c>
      <c r="N692" s="327">
        <v>0</v>
      </c>
      <c r="O692" s="331"/>
      <c r="P692" s="327"/>
      <c r="Q692" s="327"/>
      <c r="R692" s="330"/>
      <c r="S692" s="330"/>
      <c r="T692" s="330"/>
      <c r="U692" s="330"/>
      <c r="V692" s="330"/>
      <c r="W692" s="330"/>
      <c r="X692" s="415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6"/>
      <c r="B693" s="459"/>
      <c r="C693" s="392"/>
      <c r="D693" s="393"/>
      <c r="E693" s="405"/>
      <c r="F693" s="406"/>
      <c r="G693" s="558"/>
      <c r="H693" s="328"/>
      <c r="I693" s="329" t="s">
        <v>234</v>
      </c>
      <c r="J693" s="330"/>
      <c r="K693" s="330"/>
      <c r="L693" s="327"/>
      <c r="M693" s="327"/>
      <c r="N693" s="327"/>
      <c r="O693" s="330"/>
      <c r="P693" s="330"/>
      <c r="Q693" s="330"/>
      <c r="R693" s="330"/>
      <c r="S693" s="330"/>
      <c r="T693" s="330"/>
      <c r="U693" s="330"/>
      <c r="V693" s="330"/>
      <c r="W693" s="330"/>
      <c r="X693" s="415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6"/>
      <c r="B694" s="459"/>
      <c r="C694" s="392"/>
      <c r="D694" s="393"/>
      <c r="E694" s="405"/>
      <c r="F694" s="406"/>
      <c r="G694" s="558"/>
      <c r="H694" s="328"/>
      <c r="I694" s="329" t="s">
        <v>235</v>
      </c>
      <c r="J694" s="330"/>
      <c r="K694" s="330"/>
      <c r="L694" s="327"/>
      <c r="M694" s="327"/>
      <c r="N694" s="330"/>
      <c r="O694" s="330"/>
      <c r="P694" s="330"/>
      <c r="Q694" s="330"/>
      <c r="R694" s="330"/>
      <c r="S694" s="330"/>
      <c r="T694" s="330"/>
      <c r="U694" s="330"/>
      <c r="V694" s="330"/>
      <c r="W694" s="330"/>
      <c r="X694" s="415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6"/>
      <c r="B695" s="459"/>
      <c r="C695" s="392"/>
      <c r="D695" s="393"/>
      <c r="E695" s="405"/>
      <c r="F695" s="406"/>
      <c r="G695" s="558"/>
      <c r="H695" s="328"/>
      <c r="I695" s="332" t="s">
        <v>70</v>
      </c>
      <c r="J695" s="330"/>
      <c r="K695" s="327">
        <v>35000</v>
      </c>
      <c r="L695" s="327"/>
      <c r="M695" s="327"/>
      <c r="N695" s="330"/>
      <c r="O695" s="330"/>
      <c r="P695" s="330"/>
      <c r="Q695" s="330"/>
      <c r="R695" s="330"/>
      <c r="S695" s="330"/>
      <c r="T695" s="330"/>
      <c r="U695" s="330"/>
      <c r="V695" s="330"/>
      <c r="W695" s="330"/>
      <c r="X695" s="415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7"/>
      <c r="B696" s="459"/>
      <c r="C696" s="392"/>
      <c r="D696" s="393"/>
      <c r="E696" s="405"/>
      <c r="F696" s="406"/>
      <c r="G696" s="558"/>
      <c r="H696" s="328"/>
      <c r="I696" s="333" t="s">
        <v>26</v>
      </c>
      <c r="J696" s="330">
        <f t="shared" ref="J696:K696" si="206">SUM(J692:J695)</f>
        <v>50950</v>
      </c>
      <c r="K696" s="330">
        <f t="shared" si="206"/>
        <v>35000</v>
      </c>
      <c r="L696" s="330">
        <f>SUM(L692:L695)</f>
        <v>0</v>
      </c>
      <c r="M696" s="330">
        <f>SUM(M692:M695)</f>
        <v>0</v>
      </c>
      <c r="N696" s="330">
        <f t="shared" ref="N696:O696" si="207">SUM(N692:N695)</f>
        <v>0</v>
      </c>
      <c r="O696" s="330">
        <f t="shared" si="207"/>
        <v>0</v>
      </c>
      <c r="P696" s="330">
        <f>SUM(P692:P695)</f>
        <v>0</v>
      </c>
      <c r="Q696" s="330">
        <f>SUM(Q692:Q695)</f>
        <v>0</v>
      </c>
      <c r="R696" s="330">
        <f t="shared" ref="R696:W696" si="208">SUM(R692:R695)</f>
        <v>0</v>
      </c>
      <c r="S696" s="330">
        <f t="shared" si="208"/>
        <v>0</v>
      </c>
      <c r="T696" s="330">
        <f t="shared" si="208"/>
        <v>0</v>
      </c>
      <c r="U696" s="330">
        <f t="shared" si="208"/>
        <v>0</v>
      </c>
      <c r="V696" s="330">
        <f t="shared" si="208"/>
        <v>0</v>
      </c>
      <c r="W696" s="330">
        <f t="shared" si="208"/>
        <v>0</v>
      </c>
      <c r="X696" s="415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71">
        <v>54</v>
      </c>
      <c r="B697" s="418" t="s">
        <v>164</v>
      </c>
      <c r="C697" s="429">
        <v>2019</v>
      </c>
      <c r="D697" s="360">
        <v>2025</v>
      </c>
      <c r="E697" s="359" t="s">
        <v>259</v>
      </c>
      <c r="F697" s="554">
        <f>305951+X697</f>
        <v>341451</v>
      </c>
      <c r="G697" s="453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17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71"/>
      <c r="B698" s="418"/>
      <c r="C698" s="429"/>
      <c r="D698" s="360"/>
      <c r="E698" s="359"/>
      <c r="F698" s="554"/>
      <c r="G698" s="453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17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71"/>
      <c r="B699" s="418"/>
      <c r="C699" s="429"/>
      <c r="D699" s="360"/>
      <c r="E699" s="359"/>
      <c r="F699" s="554"/>
      <c r="G699" s="453"/>
      <c r="H699" s="165"/>
      <c r="I699" s="163" t="s">
        <v>109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17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71"/>
      <c r="B700" s="418"/>
      <c r="C700" s="429"/>
      <c r="D700" s="360"/>
      <c r="E700" s="359"/>
      <c r="F700" s="554"/>
      <c r="G700" s="453"/>
      <c r="H700" s="165">
        <v>6050</v>
      </c>
      <c r="I700" s="155" t="s">
        <v>70</v>
      </c>
      <c r="J700" s="187"/>
      <c r="K700" s="210">
        <v>25500</v>
      </c>
      <c r="L700" s="156"/>
      <c r="M700" s="325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17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2" customHeight="1">
      <c r="A701" s="371"/>
      <c r="B701" s="418"/>
      <c r="C701" s="429"/>
      <c r="D701" s="360"/>
      <c r="E701" s="359"/>
      <c r="F701" s="554"/>
      <c r="G701" s="453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17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71">
        <v>55</v>
      </c>
      <c r="B702" s="418" t="s">
        <v>142</v>
      </c>
      <c r="C702" s="417">
        <v>2019</v>
      </c>
      <c r="D702" s="372">
        <v>2025</v>
      </c>
      <c r="E702" s="359" t="s">
        <v>259</v>
      </c>
      <c r="F702" s="361">
        <f>277482+X702+42569</f>
        <v>350051</v>
      </c>
      <c r="G702" s="402">
        <v>90095</v>
      </c>
      <c r="H702" s="86">
        <v>6050</v>
      </c>
      <c r="I702" s="211" t="s">
        <v>28</v>
      </c>
      <c r="J702" s="84">
        <v>21000</v>
      </c>
      <c r="K702" s="62"/>
      <c r="L702" s="84"/>
      <c r="M702" s="84"/>
      <c r="N702" s="84">
        <v>30000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69">
        <f>SUM(L706:W706)</f>
        <v>30000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71"/>
      <c r="B703" s="418"/>
      <c r="C703" s="417"/>
      <c r="D703" s="372"/>
      <c r="E703" s="359"/>
      <c r="F703" s="361"/>
      <c r="G703" s="402"/>
      <c r="H703" s="86"/>
      <c r="I703" s="211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69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71"/>
      <c r="B704" s="418"/>
      <c r="C704" s="417"/>
      <c r="D704" s="372"/>
      <c r="E704" s="359"/>
      <c r="F704" s="361"/>
      <c r="G704" s="402"/>
      <c r="H704" s="89">
        <v>6050</v>
      </c>
      <c r="I704" s="211" t="s">
        <v>143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69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71"/>
      <c r="B705" s="418"/>
      <c r="C705" s="417"/>
      <c r="D705" s="372"/>
      <c r="E705" s="359"/>
      <c r="F705" s="361"/>
      <c r="G705" s="402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69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25.5" customHeight="1">
      <c r="A706" s="371"/>
      <c r="B706" s="418"/>
      <c r="C706" s="417"/>
      <c r="D706" s="372"/>
      <c r="E706" s="359"/>
      <c r="F706" s="361"/>
      <c r="G706" s="402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30000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69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71">
        <v>76</v>
      </c>
      <c r="B707" s="521" t="s">
        <v>112</v>
      </c>
      <c r="C707" s="466">
        <v>2019</v>
      </c>
      <c r="D707" s="449">
        <v>2021</v>
      </c>
      <c r="E707" s="500" t="s">
        <v>27</v>
      </c>
      <c r="F707" s="454">
        <v>0</v>
      </c>
      <c r="G707" s="455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68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71"/>
      <c r="B708" s="521"/>
      <c r="C708" s="466"/>
      <c r="D708" s="449"/>
      <c r="E708" s="500"/>
      <c r="F708" s="454"/>
      <c r="G708" s="455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68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71"/>
      <c r="B709" s="521"/>
      <c r="C709" s="466"/>
      <c r="D709" s="449"/>
      <c r="E709" s="500"/>
      <c r="F709" s="454"/>
      <c r="G709" s="455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68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71"/>
      <c r="B710" s="521"/>
      <c r="C710" s="466"/>
      <c r="D710" s="449"/>
      <c r="E710" s="500"/>
      <c r="F710" s="454"/>
      <c r="G710" s="455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68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71"/>
      <c r="B711" s="521"/>
      <c r="C711" s="466"/>
      <c r="D711" s="449"/>
      <c r="E711" s="500"/>
      <c r="F711" s="454"/>
      <c r="G711" s="455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68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71">
        <v>62</v>
      </c>
      <c r="B712" s="418" t="s">
        <v>256</v>
      </c>
      <c r="C712" s="417">
        <v>2024</v>
      </c>
      <c r="D712" s="372">
        <v>2025</v>
      </c>
      <c r="E712" s="452" t="s">
        <v>27</v>
      </c>
      <c r="F712" s="361"/>
      <c r="G712" s="402">
        <v>90095</v>
      </c>
      <c r="H712" s="86">
        <v>6050</v>
      </c>
      <c r="I712" s="211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69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71"/>
      <c r="B713" s="418"/>
      <c r="C713" s="417"/>
      <c r="D713" s="372"/>
      <c r="E713" s="452"/>
      <c r="F713" s="361"/>
      <c r="G713" s="402"/>
      <c r="H713" s="86"/>
      <c r="I713" s="211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69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71"/>
      <c r="B714" s="418"/>
      <c r="C714" s="417"/>
      <c r="D714" s="372"/>
      <c r="E714" s="452"/>
      <c r="F714" s="361"/>
      <c r="G714" s="402"/>
      <c r="H714" s="86"/>
      <c r="I714" s="211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69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71"/>
      <c r="B715" s="418"/>
      <c r="C715" s="417"/>
      <c r="D715" s="372"/>
      <c r="E715" s="452"/>
      <c r="F715" s="361"/>
      <c r="G715" s="402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69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71"/>
      <c r="B716" s="418"/>
      <c r="C716" s="417"/>
      <c r="D716" s="372"/>
      <c r="E716" s="452"/>
      <c r="F716" s="361"/>
      <c r="G716" s="402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69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71">
        <v>63</v>
      </c>
      <c r="B717" s="418" t="s">
        <v>226</v>
      </c>
      <c r="C717" s="417">
        <v>2023</v>
      </c>
      <c r="D717" s="372">
        <v>2024</v>
      </c>
      <c r="E717" s="452" t="s">
        <v>27</v>
      </c>
      <c r="F717" s="361"/>
      <c r="G717" s="402">
        <v>90095</v>
      </c>
      <c r="H717" s="86"/>
      <c r="I717" s="211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69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71"/>
      <c r="B718" s="418"/>
      <c r="C718" s="417"/>
      <c r="D718" s="372"/>
      <c r="E718" s="452"/>
      <c r="F718" s="361"/>
      <c r="G718" s="402"/>
      <c r="H718" s="86"/>
      <c r="I718" s="211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69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71"/>
      <c r="B719" s="418"/>
      <c r="C719" s="417"/>
      <c r="D719" s="372"/>
      <c r="E719" s="452"/>
      <c r="F719" s="361"/>
      <c r="G719" s="402"/>
      <c r="H719" s="86"/>
      <c r="I719" s="211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69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71"/>
      <c r="B720" s="418"/>
      <c r="C720" s="417"/>
      <c r="D720" s="372"/>
      <c r="E720" s="452"/>
      <c r="F720" s="361"/>
      <c r="G720" s="402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69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71"/>
      <c r="B721" s="418"/>
      <c r="C721" s="417"/>
      <c r="D721" s="372"/>
      <c r="E721" s="452"/>
      <c r="F721" s="361"/>
      <c r="G721" s="402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69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71">
        <v>80</v>
      </c>
      <c r="B722" s="418" t="s">
        <v>228</v>
      </c>
      <c r="C722" s="417">
        <v>2024</v>
      </c>
      <c r="D722" s="372">
        <v>2025</v>
      </c>
      <c r="E722" s="452" t="s">
        <v>27</v>
      </c>
      <c r="F722" s="361">
        <f>X722</f>
        <v>0</v>
      </c>
      <c r="G722" s="402">
        <v>90095</v>
      </c>
      <c r="H722" s="89">
        <v>6050</v>
      </c>
      <c r="I722" s="211" t="s">
        <v>28</v>
      </c>
      <c r="J722" s="65"/>
      <c r="K722" s="65"/>
      <c r="L722" s="84"/>
      <c r="M722" s="299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69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71"/>
      <c r="B723" s="418"/>
      <c r="C723" s="417"/>
      <c r="D723" s="372"/>
      <c r="E723" s="452"/>
      <c r="F723" s="361"/>
      <c r="G723" s="402"/>
      <c r="H723" s="86"/>
      <c r="I723" s="211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69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71"/>
      <c r="B724" s="418"/>
      <c r="C724" s="417"/>
      <c r="D724" s="372"/>
      <c r="E724" s="452"/>
      <c r="F724" s="361"/>
      <c r="G724" s="402"/>
      <c r="H724" s="86"/>
      <c r="I724" s="211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69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71"/>
      <c r="B725" s="418"/>
      <c r="C725" s="417"/>
      <c r="D725" s="372"/>
      <c r="E725" s="452"/>
      <c r="F725" s="361"/>
      <c r="G725" s="402"/>
      <c r="H725" s="86">
        <v>6050</v>
      </c>
      <c r="I725" s="60" t="s">
        <v>70</v>
      </c>
      <c r="J725" s="65"/>
      <c r="K725" s="65"/>
      <c r="L725" s="84">
        <v>0</v>
      </c>
      <c r="M725" s="299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69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71"/>
      <c r="B726" s="418"/>
      <c r="C726" s="417"/>
      <c r="D726" s="372"/>
      <c r="E726" s="452"/>
      <c r="F726" s="361"/>
      <c r="G726" s="402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69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5">
        <v>54</v>
      </c>
      <c r="B727" s="420" t="s">
        <v>182</v>
      </c>
      <c r="C727" s="423">
        <v>2020</v>
      </c>
      <c r="D727" s="426">
        <v>2023</v>
      </c>
      <c r="E727" s="452" t="s">
        <v>151</v>
      </c>
      <c r="F727" s="555">
        <f>X727</f>
        <v>0</v>
      </c>
      <c r="G727" s="402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69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6"/>
      <c r="B728" s="421"/>
      <c r="C728" s="424"/>
      <c r="D728" s="427"/>
      <c r="E728" s="452"/>
      <c r="F728" s="556"/>
      <c r="G728" s="402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69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6"/>
      <c r="B729" s="421"/>
      <c r="C729" s="424"/>
      <c r="D729" s="427"/>
      <c r="E729" s="452"/>
      <c r="F729" s="556"/>
      <c r="G729" s="402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69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6"/>
      <c r="B730" s="421"/>
      <c r="C730" s="424"/>
      <c r="D730" s="427"/>
      <c r="E730" s="452"/>
      <c r="F730" s="556"/>
      <c r="G730" s="402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69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7"/>
      <c r="B731" s="422"/>
      <c r="C731" s="425"/>
      <c r="D731" s="428"/>
      <c r="E731" s="452"/>
      <c r="F731" s="557"/>
      <c r="G731" s="402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69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5">
        <v>82</v>
      </c>
      <c r="B732" s="379" t="s">
        <v>140</v>
      </c>
      <c r="C732" s="407">
        <v>2020</v>
      </c>
      <c r="D732" s="407">
        <v>2022</v>
      </c>
      <c r="E732" s="511" t="s">
        <v>171</v>
      </c>
      <c r="F732" s="398">
        <f>X732</f>
        <v>0</v>
      </c>
      <c r="G732" s="394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69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6"/>
      <c r="B733" s="379"/>
      <c r="C733" s="407"/>
      <c r="D733" s="407"/>
      <c r="E733" s="511"/>
      <c r="F733" s="398"/>
      <c r="G733" s="394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69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6"/>
      <c r="B734" s="379"/>
      <c r="C734" s="407"/>
      <c r="D734" s="407"/>
      <c r="E734" s="511"/>
      <c r="F734" s="398"/>
      <c r="G734" s="394"/>
      <c r="H734" s="89"/>
      <c r="I734" s="61" t="s">
        <v>170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69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6"/>
      <c r="B735" s="379"/>
      <c r="C735" s="407"/>
      <c r="D735" s="407"/>
      <c r="E735" s="511"/>
      <c r="F735" s="398"/>
      <c r="G735" s="394"/>
      <c r="H735" s="89">
        <v>6050</v>
      </c>
      <c r="I735" s="61" t="s">
        <v>169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69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7"/>
      <c r="B736" s="379"/>
      <c r="C736" s="407"/>
      <c r="D736" s="407"/>
      <c r="E736" s="511"/>
      <c r="F736" s="398"/>
      <c r="G736" s="394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69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71">
        <v>56</v>
      </c>
      <c r="B737" s="374" t="s">
        <v>194</v>
      </c>
      <c r="C737" s="407">
        <v>2023</v>
      </c>
      <c r="D737" s="407">
        <v>2025</v>
      </c>
      <c r="E737" s="359" t="s">
        <v>259</v>
      </c>
      <c r="F737" s="406">
        <f>528350+X737+401330</f>
        <v>4533150</v>
      </c>
      <c r="G737" s="394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6"/>
      <c r="N737" s="87">
        <v>50000</v>
      </c>
      <c r="O737" s="87"/>
      <c r="P737" s="77"/>
      <c r="Q737" s="77"/>
      <c r="R737" s="77"/>
      <c r="S737" s="77"/>
      <c r="T737" s="77"/>
      <c r="U737" s="77"/>
      <c r="V737" s="77"/>
      <c r="W737" s="77"/>
      <c r="X737" s="415">
        <f>SUM(M741:W746)</f>
        <v>3603470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71"/>
      <c r="B738" s="374"/>
      <c r="C738" s="407"/>
      <c r="D738" s="407"/>
      <c r="E738" s="359"/>
      <c r="F738" s="406"/>
      <c r="G738" s="394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5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71"/>
      <c r="B739" s="374"/>
      <c r="C739" s="407"/>
      <c r="D739" s="407"/>
      <c r="E739" s="359"/>
      <c r="F739" s="406"/>
      <c r="G739" s="394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5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71"/>
      <c r="B740" s="374"/>
      <c r="C740" s="407"/>
      <c r="D740" s="407"/>
      <c r="E740" s="359"/>
      <c r="F740" s="406"/>
      <c r="G740" s="394"/>
      <c r="H740" s="89">
        <v>6370</v>
      </c>
      <c r="I740" s="60" t="s">
        <v>181</v>
      </c>
      <c r="J740" s="70"/>
      <c r="K740" s="70"/>
      <c r="L740" s="87"/>
      <c r="M740" s="87">
        <v>0</v>
      </c>
      <c r="N740" s="87">
        <v>3553470</v>
      </c>
      <c r="O740" s="71"/>
      <c r="P740" s="70"/>
      <c r="Q740" s="70"/>
      <c r="R740" s="70"/>
      <c r="S740" s="70"/>
      <c r="T740" s="70"/>
      <c r="U740" s="70"/>
      <c r="V740" s="70"/>
      <c r="W740" s="70"/>
      <c r="X740" s="415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71"/>
      <c r="B741" s="374"/>
      <c r="C741" s="407"/>
      <c r="D741" s="407"/>
      <c r="E741" s="359"/>
      <c r="F741" s="406"/>
      <c r="G741" s="394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3603470</v>
      </c>
      <c r="O741" s="66">
        <f>SUM(O737:O740)</f>
        <v>0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5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71">
        <v>83</v>
      </c>
      <c r="B742" s="379" t="s">
        <v>168</v>
      </c>
      <c r="C742" s="407">
        <v>2019</v>
      </c>
      <c r="D742" s="407">
        <v>2022</v>
      </c>
      <c r="E742" s="511" t="s">
        <v>27</v>
      </c>
      <c r="F742" s="398">
        <f>X742</f>
        <v>0</v>
      </c>
      <c r="G742" s="394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69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71"/>
      <c r="B743" s="379"/>
      <c r="C743" s="407"/>
      <c r="D743" s="407"/>
      <c r="E743" s="511"/>
      <c r="F743" s="398"/>
      <c r="G743" s="394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69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71"/>
      <c r="B744" s="379"/>
      <c r="C744" s="407"/>
      <c r="D744" s="407"/>
      <c r="E744" s="511"/>
      <c r="F744" s="398"/>
      <c r="G744" s="394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69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71"/>
      <c r="B745" s="379"/>
      <c r="C745" s="407"/>
      <c r="D745" s="407"/>
      <c r="E745" s="511"/>
      <c r="F745" s="398"/>
      <c r="G745" s="394"/>
      <c r="H745" s="89"/>
      <c r="I745" s="60" t="s">
        <v>134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69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71"/>
      <c r="B746" s="379"/>
      <c r="C746" s="407"/>
      <c r="D746" s="407"/>
      <c r="E746" s="511"/>
      <c r="F746" s="398"/>
      <c r="G746" s="394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69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71">
        <v>65</v>
      </c>
      <c r="B747" s="374" t="s">
        <v>65</v>
      </c>
      <c r="C747" s="407">
        <v>2017</v>
      </c>
      <c r="D747" s="407">
        <v>2024</v>
      </c>
      <c r="E747" s="511" t="s">
        <v>27</v>
      </c>
      <c r="F747" s="460"/>
      <c r="G747" s="394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6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69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71"/>
      <c r="B748" s="374"/>
      <c r="C748" s="407"/>
      <c r="D748" s="407"/>
      <c r="E748" s="511"/>
      <c r="F748" s="460"/>
      <c r="G748" s="394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69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71"/>
      <c r="B749" s="374"/>
      <c r="C749" s="407"/>
      <c r="D749" s="407"/>
      <c r="E749" s="511"/>
      <c r="F749" s="460"/>
      <c r="G749" s="394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69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71"/>
      <c r="B750" s="374"/>
      <c r="C750" s="407"/>
      <c r="D750" s="407"/>
      <c r="E750" s="511"/>
      <c r="F750" s="460"/>
      <c r="G750" s="394"/>
      <c r="H750" s="89">
        <v>6050</v>
      </c>
      <c r="I750" s="60" t="s">
        <v>134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69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71"/>
      <c r="B751" s="374"/>
      <c r="C751" s="407"/>
      <c r="D751" s="407"/>
      <c r="E751" s="511"/>
      <c r="F751" s="460"/>
      <c r="G751" s="394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69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71">
        <v>57</v>
      </c>
      <c r="B752" s="374" t="s">
        <v>114</v>
      </c>
      <c r="C752" s="407">
        <v>2017</v>
      </c>
      <c r="D752" s="407">
        <v>2029</v>
      </c>
      <c r="E752" s="359" t="s">
        <v>259</v>
      </c>
      <c r="F752" s="357">
        <f>136350+0+X752</f>
        <v>3605776</v>
      </c>
      <c r="G752" s="365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4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69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71"/>
      <c r="B753" s="374"/>
      <c r="C753" s="407"/>
      <c r="D753" s="407"/>
      <c r="E753" s="359"/>
      <c r="F753" s="357"/>
      <c r="G753" s="365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69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71"/>
      <c r="B754" s="374"/>
      <c r="C754" s="407"/>
      <c r="D754" s="407"/>
      <c r="E754" s="359"/>
      <c r="F754" s="357"/>
      <c r="G754" s="365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69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71"/>
      <c r="B755" s="374"/>
      <c r="C755" s="407"/>
      <c r="D755" s="407"/>
      <c r="E755" s="359"/>
      <c r="F755" s="357"/>
      <c r="G755" s="365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69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2" customHeight="1">
      <c r="A756" s="371"/>
      <c r="B756" s="374"/>
      <c r="C756" s="407"/>
      <c r="D756" s="407"/>
      <c r="E756" s="359"/>
      <c r="F756" s="357"/>
      <c r="G756" s="365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69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71">
        <v>53</v>
      </c>
      <c r="B757" s="379" t="s">
        <v>66</v>
      </c>
      <c r="C757" s="416">
        <v>2017</v>
      </c>
      <c r="D757" s="416">
        <v>2026</v>
      </c>
      <c r="E757" s="363" t="s">
        <v>27</v>
      </c>
      <c r="F757" s="366">
        <f>X757</f>
        <v>0</v>
      </c>
      <c r="G757" s="386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12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71"/>
      <c r="B758" s="379"/>
      <c r="C758" s="416"/>
      <c r="D758" s="416"/>
      <c r="E758" s="363"/>
      <c r="F758" s="366"/>
      <c r="G758" s="386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12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71"/>
      <c r="B759" s="379"/>
      <c r="C759" s="416"/>
      <c r="D759" s="416"/>
      <c r="E759" s="363"/>
      <c r="F759" s="366"/>
      <c r="G759" s="386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12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71"/>
      <c r="B760" s="379"/>
      <c r="C760" s="416"/>
      <c r="D760" s="416"/>
      <c r="E760" s="363"/>
      <c r="F760" s="366"/>
      <c r="G760" s="386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12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71"/>
      <c r="B761" s="379"/>
      <c r="C761" s="416"/>
      <c r="D761" s="416"/>
      <c r="E761" s="363"/>
      <c r="F761" s="366"/>
      <c r="G761" s="386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12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71">
        <v>54</v>
      </c>
      <c r="B762" s="379" t="s">
        <v>113</v>
      </c>
      <c r="C762" s="416">
        <v>2013</v>
      </c>
      <c r="D762" s="416">
        <v>2028</v>
      </c>
      <c r="E762" s="363" t="s">
        <v>27</v>
      </c>
      <c r="F762" s="357">
        <f>X762</f>
        <v>0</v>
      </c>
      <c r="G762" s="386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12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71"/>
      <c r="B763" s="379"/>
      <c r="C763" s="416"/>
      <c r="D763" s="416"/>
      <c r="E763" s="363"/>
      <c r="F763" s="357"/>
      <c r="G763" s="386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12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71"/>
      <c r="B764" s="379"/>
      <c r="C764" s="416"/>
      <c r="D764" s="416"/>
      <c r="E764" s="363"/>
      <c r="F764" s="357"/>
      <c r="G764" s="386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12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71"/>
      <c r="B765" s="379"/>
      <c r="C765" s="416"/>
      <c r="D765" s="416"/>
      <c r="E765" s="363"/>
      <c r="F765" s="357"/>
      <c r="G765" s="386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12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71"/>
      <c r="B766" s="379"/>
      <c r="C766" s="416"/>
      <c r="D766" s="416"/>
      <c r="E766" s="363"/>
      <c r="F766" s="357"/>
      <c r="G766" s="386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12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71">
        <v>58</v>
      </c>
      <c r="B767" s="374" t="s">
        <v>106</v>
      </c>
      <c r="C767" s="416">
        <v>2014</v>
      </c>
      <c r="D767" s="416">
        <v>2029</v>
      </c>
      <c r="E767" s="359" t="s">
        <v>259</v>
      </c>
      <c r="F767" s="357">
        <f>699457+0+X767</f>
        <v>1149457</v>
      </c>
      <c r="G767" s="358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164">
        <v>200000</v>
      </c>
      <c r="R767" s="157">
        <v>250000</v>
      </c>
      <c r="S767" s="157"/>
      <c r="T767" s="164"/>
      <c r="U767" s="164"/>
      <c r="V767" s="157"/>
      <c r="W767" s="157"/>
      <c r="X767" s="419">
        <f>SUM(M771:W771)</f>
        <v>450000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71"/>
      <c r="B768" s="374"/>
      <c r="C768" s="416"/>
      <c r="D768" s="416"/>
      <c r="E768" s="359"/>
      <c r="F768" s="357"/>
      <c r="G768" s="358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19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71"/>
      <c r="B769" s="374"/>
      <c r="C769" s="416"/>
      <c r="D769" s="416"/>
      <c r="E769" s="359"/>
      <c r="F769" s="357"/>
      <c r="G769" s="358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19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71"/>
      <c r="B770" s="374"/>
      <c r="C770" s="416"/>
      <c r="D770" s="416"/>
      <c r="E770" s="359"/>
      <c r="F770" s="357"/>
      <c r="G770" s="358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19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71"/>
      <c r="B771" s="374"/>
      <c r="C771" s="416"/>
      <c r="D771" s="416"/>
      <c r="E771" s="359"/>
      <c r="F771" s="357"/>
      <c r="G771" s="358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200000</v>
      </c>
      <c r="R771" s="161">
        <f t="shared" ref="R771:W771" si="249">SUM(R767:R770)</f>
        <v>250000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19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hidden="1" customHeight="1">
      <c r="A772" s="371">
        <v>89</v>
      </c>
      <c r="B772" s="379" t="s">
        <v>77</v>
      </c>
      <c r="C772" s="446">
        <v>2016</v>
      </c>
      <c r="D772" s="416">
        <v>2027</v>
      </c>
      <c r="E772" s="549" t="s">
        <v>27</v>
      </c>
      <c r="F772" s="366">
        <f>X772</f>
        <v>0</v>
      </c>
      <c r="G772" s="453">
        <v>92605</v>
      </c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57"/>
      <c r="O772" s="157"/>
      <c r="P772" s="208"/>
      <c r="Q772" s="208"/>
      <c r="R772" s="164"/>
      <c r="S772" s="157"/>
      <c r="T772" s="157"/>
      <c r="U772" s="157"/>
      <c r="V772" s="157"/>
      <c r="W772" s="157"/>
      <c r="X772" s="512">
        <f>SUM(L776:W776)</f>
        <v>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hidden="1" customHeight="1">
      <c r="A773" s="371"/>
      <c r="B773" s="379"/>
      <c r="C773" s="446"/>
      <c r="D773" s="416"/>
      <c r="E773" s="549"/>
      <c r="F773" s="366"/>
      <c r="G773" s="453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512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hidden="1" customHeight="1">
      <c r="A774" s="371"/>
      <c r="B774" s="379"/>
      <c r="C774" s="446"/>
      <c r="D774" s="416"/>
      <c r="E774" s="549"/>
      <c r="F774" s="366"/>
      <c r="G774" s="453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512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4.25" hidden="1" customHeight="1">
      <c r="A775" s="371"/>
      <c r="B775" s="379"/>
      <c r="C775" s="446"/>
      <c r="D775" s="416"/>
      <c r="E775" s="549"/>
      <c r="F775" s="366"/>
      <c r="G775" s="453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512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4.25" hidden="1" customHeight="1">
      <c r="A776" s="371"/>
      <c r="B776" s="379"/>
      <c r="C776" s="446"/>
      <c r="D776" s="416"/>
      <c r="E776" s="549"/>
      <c r="F776" s="366"/>
      <c r="G776" s="453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0</v>
      </c>
      <c r="P776" s="162">
        <f t="shared" si="250"/>
        <v>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512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71">
        <v>88</v>
      </c>
      <c r="B777" s="379" t="s">
        <v>74</v>
      </c>
      <c r="C777" s="458">
        <v>2014</v>
      </c>
      <c r="D777" s="457">
        <v>2026</v>
      </c>
      <c r="E777" s="456" t="s">
        <v>27</v>
      </c>
      <c r="F777" s="454">
        <v>0</v>
      </c>
      <c r="G777" s="455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3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71"/>
      <c r="B778" s="379"/>
      <c r="C778" s="458"/>
      <c r="D778" s="457"/>
      <c r="E778" s="456"/>
      <c r="F778" s="454"/>
      <c r="G778" s="455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3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71"/>
      <c r="B779" s="379"/>
      <c r="C779" s="458"/>
      <c r="D779" s="457"/>
      <c r="E779" s="456"/>
      <c r="F779" s="454"/>
      <c r="G779" s="455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3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71"/>
      <c r="B780" s="379"/>
      <c r="C780" s="458"/>
      <c r="D780" s="457"/>
      <c r="E780" s="456"/>
      <c r="F780" s="454"/>
      <c r="G780" s="455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3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71"/>
      <c r="B781" s="379"/>
      <c r="C781" s="458"/>
      <c r="D781" s="457"/>
      <c r="E781" s="456"/>
      <c r="F781" s="454"/>
      <c r="G781" s="455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3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71">
        <v>90</v>
      </c>
      <c r="B782" s="379" t="s">
        <v>116</v>
      </c>
      <c r="C782" s="416">
        <v>2016</v>
      </c>
      <c r="D782" s="360">
        <v>2022</v>
      </c>
      <c r="E782" s="363" t="s">
        <v>27</v>
      </c>
      <c r="F782" s="366">
        <f>X782</f>
        <v>0</v>
      </c>
      <c r="G782" s="386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6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71"/>
      <c r="B783" s="379"/>
      <c r="C783" s="416"/>
      <c r="D783" s="360"/>
      <c r="E783" s="363"/>
      <c r="F783" s="366"/>
      <c r="G783" s="386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6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71"/>
      <c r="B784" s="379"/>
      <c r="C784" s="416"/>
      <c r="D784" s="360"/>
      <c r="E784" s="363"/>
      <c r="F784" s="366"/>
      <c r="G784" s="386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6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71"/>
      <c r="B785" s="379"/>
      <c r="C785" s="416"/>
      <c r="D785" s="360"/>
      <c r="E785" s="363"/>
      <c r="F785" s="366"/>
      <c r="G785" s="386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6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71"/>
      <c r="B786" s="379"/>
      <c r="C786" s="416"/>
      <c r="D786" s="360"/>
      <c r="E786" s="363"/>
      <c r="F786" s="366"/>
      <c r="G786" s="386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6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71">
        <v>59</v>
      </c>
      <c r="B787" s="374" t="s">
        <v>138</v>
      </c>
      <c r="C787" s="416">
        <v>2016</v>
      </c>
      <c r="D787" s="360">
        <v>2032</v>
      </c>
      <c r="E787" s="363" t="s">
        <v>27</v>
      </c>
      <c r="F787" s="366">
        <f>X787</f>
        <v>0</v>
      </c>
      <c r="G787" s="386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6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71"/>
      <c r="B788" s="374"/>
      <c r="C788" s="416"/>
      <c r="D788" s="360"/>
      <c r="E788" s="363"/>
      <c r="F788" s="366"/>
      <c r="G788" s="386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6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71"/>
      <c r="B789" s="374"/>
      <c r="C789" s="416"/>
      <c r="D789" s="360"/>
      <c r="E789" s="363"/>
      <c r="F789" s="366"/>
      <c r="G789" s="386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6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71"/>
      <c r="B790" s="374"/>
      <c r="C790" s="416"/>
      <c r="D790" s="360"/>
      <c r="E790" s="363"/>
      <c r="F790" s="366"/>
      <c r="G790" s="386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6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71"/>
      <c r="B791" s="374"/>
      <c r="C791" s="416"/>
      <c r="D791" s="360"/>
      <c r="E791" s="363"/>
      <c r="F791" s="366"/>
      <c r="G791" s="386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6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 hidden="1">
      <c r="A792" s="55"/>
      <c r="B792" s="23"/>
      <c r="C792" s="23"/>
      <c r="D792" s="23"/>
      <c r="E792" s="23"/>
      <c r="F792" s="23"/>
      <c r="G792" s="23"/>
      <c r="H792" s="23"/>
      <c r="I792" s="559"/>
      <c r="J792" s="559"/>
      <c r="K792" s="559"/>
      <c r="L792" s="559"/>
      <c r="M792" s="240"/>
      <c r="N792" s="240"/>
      <c r="O792" s="240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hidden="1" customHeight="1">
      <c r="A793" s="55"/>
      <c r="B793" s="23"/>
      <c r="C793" s="23"/>
      <c r="D793" s="23"/>
      <c r="E793" s="23"/>
      <c r="F793" s="23"/>
      <c r="G793" s="23"/>
      <c r="H793" s="23"/>
      <c r="I793" s="559"/>
      <c r="J793" s="559"/>
      <c r="K793" s="559"/>
      <c r="L793" s="559"/>
      <c r="M793" s="246"/>
      <c r="N793" s="246"/>
      <c r="O793" s="246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 hidden="1">
      <c r="A794" s="55"/>
      <c r="B794" s="23"/>
      <c r="C794" s="23"/>
      <c r="D794" s="23"/>
      <c r="E794" s="23"/>
      <c r="F794" s="23"/>
      <c r="G794" s="23"/>
      <c r="H794" s="23"/>
      <c r="I794" s="559"/>
      <c r="J794" s="559"/>
      <c r="K794" s="559"/>
      <c r="L794" s="559"/>
      <c r="M794" s="239"/>
      <c r="N794" s="239"/>
      <c r="O794" s="239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 hidden="1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 hidden="1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 hidden="1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 hidden="1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 hidden="1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 hidden="1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 hidden="1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 hidden="1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 hidden="1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 hidden="1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 hidden="1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 hidden="1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 hidden="1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 hidden="1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 hidden="1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 hidden="1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 hidden="1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 hidden="1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 hidden="1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 hidden="1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 hidden="1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 hidden="1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 hidden="1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 hidden="1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 hidden="1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 hidden="1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 hidden="1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 hidden="1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 hidden="1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 hidden="1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 hidden="1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 hidden="1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 hidden="1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 hidden="1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 hidden="1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 hidden="1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 hidden="1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 hidden="1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 hidden="1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 hidden="1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 hidden="1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 hidden="1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 hidden="1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 hidden="1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 hidden="1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 hidden="1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 hidden="1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 hidden="1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 hidden="1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 hidden="1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 hidden="1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 hidden="1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 hidden="1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848" spans="1:24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spans="1:24" hidden="1"/>
    <row r="17026" spans="1:24" hidden="1"/>
    <row r="17027" spans="1:24" hidden="1"/>
    <row r="17028" spans="1:24" hidden="1"/>
    <row r="17029" spans="1:24" hidden="1"/>
    <row r="17030" spans="1:24" hidden="1"/>
    <row r="17031" spans="1:24" ht="11.25" hidden="1" customHeight="1">
      <c r="A17031" s="371">
        <v>69</v>
      </c>
      <c r="B17031" s="374" t="s">
        <v>238</v>
      </c>
      <c r="C17031" s="360">
        <v>2023</v>
      </c>
      <c r="D17031" s="360">
        <v>2024</v>
      </c>
      <c r="E17031" s="359" t="s">
        <v>27</v>
      </c>
      <c r="F17031" s="574"/>
      <c r="G17031" s="386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4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79">
        <f>SUM(L17035:W17035)</f>
        <v>0</v>
      </c>
    </row>
    <row r="17032" spans="1:24" ht="11.25" hidden="1" customHeight="1">
      <c r="A17032" s="371"/>
      <c r="B17032" s="374"/>
      <c r="C17032" s="360"/>
      <c r="D17032" s="360"/>
      <c r="E17032" s="359"/>
      <c r="F17032" s="574"/>
      <c r="G17032" s="386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79"/>
    </row>
    <row r="17033" spans="1:24" ht="11.25" hidden="1" customHeight="1">
      <c r="A17033" s="371"/>
      <c r="B17033" s="374"/>
      <c r="C17033" s="360"/>
      <c r="D17033" s="360"/>
      <c r="E17033" s="359"/>
      <c r="F17033" s="574"/>
      <c r="G17033" s="386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79"/>
    </row>
    <row r="17034" spans="1:24" ht="11.25" hidden="1" customHeight="1">
      <c r="A17034" s="371"/>
      <c r="B17034" s="374"/>
      <c r="C17034" s="360"/>
      <c r="D17034" s="360"/>
      <c r="E17034" s="359"/>
      <c r="F17034" s="574"/>
      <c r="G17034" s="386"/>
      <c r="H17034" s="244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79"/>
    </row>
    <row r="17035" spans="1:24" ht="12.75" hidden="1" customHeight="1">
      <c r="A17035" s="371"/>
      <c r="B17035" s="374"/>
      <c r="C17035" s="360"/>
      <c r="D17035" s="360"/>
      <c r="E17035" s="359"/>
      <c r="F17035" s="574"/>
      <c r="G17035" s="386"/>
      <c r="H17035" s="315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79"/>
    </row>
    <row r="17036" spans="1:24" hidden="1"/>
    <row r="17037" spans="1:24" hidden="1"/>
    <row r="17038" spans="1:24" hidden="1"/>
    <row r="17039" spans="1:24" hidden="1"/>
    <row r="17040" spans="1:24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spans="13:13" hidden="1"/>
    <row r="20546" spans="13:13" hidden="1"/>
    <row r="20547" spans="13:13" hidden="1"/>
    <row r="20548" spans="13:13" hidden="1"/>
    <row r="20549" spans="13:13" hidden="1"/>
    <row r="20550" spans="13:13" hidden="1"/>
    <row r="20551" spans="13:13" hidden="1"/>
    <row r="20552" spans="13:13" hidden="1"/>
    <row r="20553" spans="13:13" hidden="1"/>
    <row r="20554" spans="13:13" hidden="1"/>
    <row r="20555" spans="13:13" hidden="1"/>
    <row r="20556" spans="13:13" hidden="1"/>
    <row r="20557" spans="13:13" hidden="1"/>
    <row r="20558" spans="13:13" hidden="1">
      <c r="M20558" s="316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A396:A400"/>
    <mergeCell ref="G17031:G17035"/>
    <mergeCell ref="X17031:X17035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5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5">
        <v>65</v>
      </c>
    </row>
    <row r="52" spans="5:5">
      <c r="E52" s="396"/>
    </row>
    <row r="53" spans="5:5">
      <c r="E53" s="396"/>
    </row>
    <row r="54" spans="5:5">
      <c r="E54" s="396"/>
    </row>
    <row r="55" spans="5:5">
      <c r="E55" s="397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2025-05-19T12:14:52Z</cp:lastPrinted>
  <dcterms:created xsi:type="dcterms:W3CDTF">2006-09-22T13:37:51Z</dcterms:created>
  <dcterms:modified xsi:type="dcterms:W3CDTF">2025-05-22T09:35:49Z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