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Inwestycje 2025\sesja 07.08.2025\"/>
    </mc:Choice>
  </mc:AlternateContent>
  <xr:revisionPtr revIDLastSave="0" documentId="13_ncr:1_{84D20797-074A-4BFF-8580-2AF36403947A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89" i="1" l="1"/>
  <c r="W168" i="1"/>
  <c r="V168" i="1"/>
  <c r="U168" i="1"/>
  <c r="T168" i="1"/>
  <c r="S168" i="1"/>
  <c r="R168" i="1"/>
  <c r="Q168" i="1"/>
  <c r="P168" i="1"/>
  <c r="O168" i="1"/>
  <c r="Q59" i="1"/>
  <c r="R59" i="1"/>
  <c r="S59" i="1"/>
  <c r="T59" i="1"/>
  <c r="U59" i="1"/>
  <c r="V59" i="1"/>
  <c r="W59" i="1"/>
  <c r="O37" i="1"/>
  <c r="P37" i="1"/>
  <c r="P22" i="1" s="1"/>
  <c r="Q37" i="1"/>
  <c r="Q22" i="1" s="1"/>
  <c r="R37" i="1"/>
  <c r="R22" i="1" s="1"/>
  <c r="S37" i="1"/>
  <c r="S22" i="1" s="1"/>
  <c r="T37" i="1"/>
  <c r="T22" i="1" s="1"/>
  <c r="U37" i="1"/>
  <c r="U22" i="1" s="1"/>
  <c r="V37" i="1"/>
  <c r="V22" i="1" s="1"/>
  <c r="W37" i="1"/>
  <c r="W22" i="1" s="1"/>
  <c r="O505" i="1"/>
  <c r="N505" i="1"/>
  <c r="N93" i="1" l="1"/>
  <c r="M86" i="1"/>
  <c r="N86" i="1"/>
  <c r="M29" i="1"/>
  <c r="X82" i="1" l="1"/>
  <c r="F82" i="1" s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P71" i="1"/>
  <c r="O71" i="1"/>
  <c r="N71" i="1"/>
  <c r="M71" i="1"/>
  <c r="L71" i="1"/>
  <c r="K71" i="1"/>
  <c r="J67" i="1"/>
  <c r="J71" i="1" s="1"/>
  <c r="W17035" i="1"/>
  <c r="V17035" i="1"/>
  <c r="U17035" i="1"/>
  <c r="T17035" i="1"/>
  <c r="S17035" i="1"/>
  <c r="R17035" i="1"/>
  <c r="Q17035" i="1"/>
  <c r="P17035" i="1"/>
  <c r="O17035" i="1"/>
  <c r="N17035" i="1"/>
  <c r="M17035" i="1"/>
  <c r="L17035" i="1"/>
  <c r="O301" i="1"/>
  <c r="O198" i="1"/>
  <c r="O197" i="1"/>
  <c r="O180" i="1"/>
  <c r="O179" i="1"/>
  <c r="O490" i="1"/>
  <c r="R335" i="1"/>
  <c r="U791" i="1"/>
  <c r="T791" i="1"/>
  <c r="S791" i="1"/>
  <c r="R791" i="1"/>
  <c r="Q791" i="1"/>
  <c r="P791" i="1"/>
  <c r="O791" i="1"/>
  <c r="S625" i="1"/>
  <c r="R625" i="1"/>
  <c r="R325" i="1"/>
  <c r="S275" i="1"/>
  <c r="S250" i="1"/>
  <c r="R250" i="1"/>
  <c r="M77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X692" i="1" l="1"/>
  <c r="F692" i="1" s="1"/>
  <c r="X66" i="1"/>
  <c r="F66" i="1" s="1"/>
  <c r="X666" i="1"/>
  <c r="X17031" i="1"/>
  <c r="S585" i="1" l="1"/>
  <c r="T585" i="1"/>
  <c r="U585" i="1"/>
  <c r="V585" i="1"/>
  <c r="Q625" i="1"/>
  <c r="Q590" i="1"/>
  <c r="R590" i="1"/>
  <c r="S590" i="1"/>
  <c r="T590" i="1"/>
  <c r="Q495" i="1" l="1"/>
  <c r="R495" i="1"/>
  <c r="S495" i="1"/>
  <c r="T495" i="1"/>
  <c r="U495" i="1"/>
  <c r="V495" i="1"/>
  <c r="W495" i="1"/>
  <c r="Q345" i="1"/>
  <c r="R345" i="1"/>
  <c r="S345" i="1"/>
  <c r="T345" i="1"/>
  <c r="U345" i="1"/>
  <c r="V345" i="1"/>
  <c r="W345" i="1"/>
  <c r="Q420" i="1"/>
  <c r="R420" i="1"/>
  <c r="S420" i="1"/>
  <c r="T420" i="1"/>
  <c r="U420" i="1"/>
  <c r="Q520" i="1"/>
  <c r="R520" i="1"/>
  <c r="S520" i="1"/>
  <c r="T520" i="1"/>
  <c r="U520" i="1"/>
  <c r="V520" i="1"/>
  <c r="W520" i="1"/>
  <c r="Q410" i="1"/>
  <c r="R410" i="1"/>
  <c r="S410" i="1"/>
  <c r="T410" i="1"/>
  <c r="U410" i="1"/>
  <c r="V410" i="1"/>
  <c r="W410" i="1"/>
  <c r="P320" i="1"/>
  <c r="Q320" i="1"/>
  <c r="R320" i="1"/>
  <c r="S320" i="1"/>
  <c r="T320" i="1"/>
  <c r="U320" i="1"/>
  <c r="V320" i="1"/>
  <c r="W320" i="1"/>
  <c r="Q280" i="1"/>
  <c r="R280" i="1"/>
  <c r="S280" i="1"/>
  <c r="T280" i="1"/>
  <c r="U280" i="1"/>
  <c r="V280" i="1"/>
  <c r="W280" i="1"/>
  <c r="Q380" i="1"/>
  <c r="R380" i="1"/>
  <c r="S380" i="1"/>
  <c r="T380" i="1"/>
  <c r="U380" i="1"/>
  <c r="V380" i="1"/>
  <c r="W380" i="1"/>
  <c r="S365" i="1"/>
  <c r="T365" i="1"/>
  <c r="U365" i="1"/>
  <c r="V365" i="1"/>
  <c r="W365" i="1"/>
  <c r="Q365" i="1"/>
  <c r="R365" i="1"/>
  <c r="R340" i="1"/>
  <c r="S340" i="1"/>
  <c r="T340" i="1"/>
  <c r="U340" i="1"/>
  <c r="V340" i="1"/>
  <c r="W340" i="1"/>
  <c r="N310" i="1"/>
  <c r="O310" i="1"/>
  <c r="P310" i="1"/>
  <c r="Q310" i="1"/>
  <c r="R310" i="1"/>
  <c r="S310" i="1"/>
  <c r="T310" i="1"/>
  <c r="U310" i="1"/>
  <c r="V310" i="1"/>
  <c r="W310" i="1"/>
  <c r="T295" i="1"/>
  <c r="U295" i="1"/>
  <c r="V295" i="1"/>
  <c r="W295" i="1"/>
  <c r="Q295" i="1"/>
  <c r="R295" i="1"/>
  <c r="S295" i="1"/>
  <c r="R290" i="1"/>
  <c r="S290" i="1"/>
  <c r="T290" i="1"/>
  <c r="U290" i="1"/>
  <c r="V290" i="1"/>
  <c r="W290" i="1"/>
  <c r="Q265" i="1"/>
  <c r="R265" i="1"/>
  <c r="S265" i="1"/>
  <c r="T265" i="1"/>
  <c r="U265" i="1"/>
  <c r="V265" i="1"/>
  <c r="W265" i="1"/>
  <c r="Q440" i="1"/>
  <c r="R440" i="1"/>
  <c r="S440" i="1"/>
  <c r="T440" i="1"/>
  <c r="U440" i="1"/>
  <c r="V440" i="1"/>
  <c r="W440" i="1"/>
  <c r="Q335" i="1"/>
  <c r="N325" i="1"/>
  <c r="R275" i="1"/>
  <c r="Q515" i="1" l="1"/>
  <c r="R515" i="1"/>
  <c r="S515" i="1"/>
  <c r="T515" i="1"/>
  <c r="U515" i="1"/>
  <c r="V515" i="1"/>
  <c r="W515" i="1"/>
  <c r="P575" i="1"/>
  <c r="O575" i="1"/>
  <c r="N575" i="1"/>
  <c r="M575" i="1"/>
  <c r="L575" i="1"/>
  <c r="K575" i="1"/>
  <c r="J575" i="1"/>
  <c r="P570" i="1"/>
  <c r="O570" i="1"/>
  <c r="N570" i="1"/>
  <c r="M570" i="1"/>
  <c r="L570" i="1"/>
  <c r="K570" i="1"/>
  <c r="J570" i="1"/>
  <c r="P650" i="1"/>
  <c r="O650" i="1"/>
  <c r="N650" i="1"/>
  <c r="M650" i="1"/>
  <c r="L650" i="1"/>
  <c r="P610" i="1"/>
  <c r="O610" i="1"/>
  <c r="N610" i="1"/>
  <c r="M610" i="1"/>
  <c r="L610" i="1"/>
  <c r="P565" i="1"/>
  <c r="O565" i="1"/>
  <c r="N565" i="1"/>
  <c r="M565" i="1"/>
  <c r="L565" i="1"/>
  <c r="K565" i="1"/>
  <c r="J565" i="1"/>
  <c r="X646" i="1" l="1"/>
  <c r="F646" i="1" s="1"/>
  <c r="X571" i="1"/>
  <c r="X566" i="1"/>
  <c r="X561" i="1"/>
  <c r="X606" i="1"/>
  <c r="F606" i="1" s="1"/>
  <c r="P620" i="1"/>
  <c r="O620" i="1"/>
  <c r="N620" i="1"/>
  <c r="M620" i="1"/>
  <c r="L620" i="1"/>
  <c r="X616" i="1" l="1"/>
  <c r="F616" i="1"/>
  <c r="P120" i="1"/>
  <c r="O120" i="1"/>
  <c r="N120" i="1"/>
  <c r="M120" i="1"/>
  <c r="L120" i="1"/>
  <c r="K120" i="1"/>
  <c r="J117" i="1"/>
  <c r="J120" i="1" s="1"/>
  <c r="X117" i="1" l="1"/>
  <c r="F117" i="1" s="1"/>
  <c r="R771" i="1"/>
  <c r="S771" i="1"/>
  <c r="T771" i="1"/>
  <c r="U771" i="1"/>
  <c r="V771" i="1"/>
  <c r="W771" i="1"/>
  <c r="N500" i="1"/>
  <c r="O500" i="1"/>
  <c r="P500" i="1"/>
  <c r="Q500" i="1"/>
  <c r="R500" i="1"/>
  <c r="S500" i="1"/>
  <c r="T500" i="1"/>
  <c r="U500" i="1"/>
  <c r="V500" i="1"/>
  <c r="W500" i="1"/>
  <c r="Q435" i="1"/>
  <c r="R435" i="1"/>
  <c r="S435" i="1"/>
  <c r="T435" i="1"/>
  <c r="U435" i="1"/>
  <c r="V435" i="1"/>
  <c r="W435" i="1"/>
  <c r="S756" i="1"/>
  <c r="Q595" i="1"/>
  <c r="R595" i="1"/>
  <c r="S595" i="1"/>
  <c r="T595" i="1"/>
  <c r="U595" i="1"/>
  <c r="V595" i="1"/>
  <c r="W59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X381" i="1" l="1"/>
  <c r="F381" i="1" s="1"/>
  <c r="X386" i="1"/>
  <c r="F386" i="1" s="1"/>
  <c r="Q395" i="1"/>
  <c r="R395" i="1"/>
  <c r="S395" i="1"/>
  <c r="T395" i="1"/>
  <c r="U395" i="1"/>
  <c r="V395" i="1"/>
  <c r="W395" i="1"/>
  <c r="P395" i="1"/>
  <c r="O395" i="1"/>
  <c r="N395" i="1"/>
  <c r="M395" i="1"/>
  <c r="L395" i="1"/>
  <c r="K395" i="1"/>
  <c r="J395" i="1"/>
  <c r="Q285" i="1"/>
  <c r="P285" i="1"/>
  <c r="O285" i="1"/>
  <c r="N285" i="1"/>
  <c r="M285" i="1"/>
  <c r="L285" i="1"/>
  <c r="K285" i="1"/>
  <c r="J285" i="1"/>
  <c r="X391" i="1" l="1"/>
  <c r="F391" i="1"/>
  <c r="X281" i="1"/>
  <c r="F281" i="1" s="1"/>
  <c r="Q490" i="1" l="1"/>
  <c r="Q415" i="1"/>
  <c r="Q275" i="1"/>
  <c r="P585" i="1"/>
  <c r="Q585" i="1"/>
  <c r="R585" i="1"/>
  <c r="Q315" i="1"/>
  <c r="R315" i="1"/>
  <c r="S315" i="1"/>
  <c r="T315" i="1"/>
  <c r="U315" i="1"/>
  <c r="V315" i="1"/>
  <c r="W315" i="1"/>
  <c r="P741" i="1" l="1"/>
  <c r="O741" i="1"/>
  <c r="N741" i="1"/>
  <c r="M741" i="1"/>
  <c r="L741" i="1"/>
  <c r="K737" i="1"/>
  <c r="K741" i="1" s="1"/>
  <c r="J737" i="1"/>
  <c r="J741" i="1" s="1"/>
  <c r="P255" i="1" l="1"/>
  <c r="O255" i="1"/>
  <c r="N255" i="1"/>
  <c r="M255" i="1"/>
  <c r="L255" i="1"/>
  <c r="K255" i="1"/>
  <c r="J251" i="1"/>
  <c r="J255" i="1" s="1"/>
  <c r="X251" i="1" l="1"/>
  <c r="F251" i="1" s="1"/>
  <c r="W137" i="1" l="1"/>
  <c r="V137" i="1"/>
  <c r="U137" i="1"/>
  <c r="T137" i="1"/>
  <c r="S137" i="1"/>
  <c r="R137" i="1"/>
  <c r="Q137" i="1"/>
  <c r="P142" i="1"/>
  <c r="P137" i="1" s="1"/>
  <c r="O142" i="1"/>
  <c r="N142" i="1"/>
  <c r="M142" i="1"/>
  <c r="L142" i="1"/>
  <c r="L137" i="1" s="1"/>
  <c r="K142" i="1"/>
  <c r="J142" i="1"/>
  <c r="X138" i="1" l="1"/>
  <c r="F138" i="1" s="1"/>
  <c r="W630" i="1"/>
  <c r="V630" i="1"/>
  <c r="U630" i="1"/>
  <c r="T630" i="1"/>
  <c r="S630" i="1"/>
  <c r="R630" i="1"/>
  <c r="Q630" i="1"/>
  <c r="P630" i="1"/>
  <c r="O630" i="1"/>
  <c r="N630" i="1"/>
  <c r="M630" i="1"/>
  <c r="L630" i="1"/>
  <c r="U199" i="1"/>
  <c r="V199" i="1"/>
  <c r="W199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J240" i="1"/>
  <c r="K236" i="1"/>
  <c r="K240" i="1" s="1"/>
  <c r="Q635" i="1"/>
  <c r="R635" i="1"/>
  <c r="S635" i="1"/>
  <c r="T635" i="1"/>
  <c r="U635" i="1"/>
  <c r="V635" i="1"/>
  <c r="W635" i="1"/>
  <c r="U305" i="1"/>
  <c r="V305" i="1"/>
  <c r="W305" i="1"/>
  <c r="P214" i="1"/>
  <c r="O214" i="1"/>
  <c r="N214" i="1"/>
  <c r="M214" i="1"/>
  <c r="L214" i="1"/>
  <c r="K214" i="1"/>
  <c r="J214" i="1"/>
  <c r="P162" i="1"/>
  <c r="Q162" i="1"/>
  <c r="P746" i="1"/>
  <c r="O746" i="1"/>
  <c r="N746" i="1"/>
  <c r="M746" i="1"/>
  <c r="L746" i="1"/>
  <c r="K742" i="1"/>
  <c r="K746" i="1" s="1"/>
  <c r="J742" i="1"/>
  <c r="J746" i="1" s="1"/>
  <c r="P515" i="1"/>
  <c r="O515" i="1"/>
  <c r="N515" i="1"/>
  <c r="M515" i="1"/>
  <c r="L515" i="1"/>
  <c r="K515" i="1"/>
  <c r="J515" i="1"/>
  <c r="X737" i="1" l="1"/>
  <c r="F737" i="1" s="1"/>
  <c r="X626" i="1"/>
  <c r="X511" i="1"/>
  <c r="F511" i="1" s="1"/>
  <c r="X742" i="1"/>
  <c r="F742" i="1" s="1"/>
  <c r="X236" i="1"/>
  <c r="F236" i="1" s="1"/>
  <c r="X210" i="1"/>
  <c r="F210" i="1" s="1"/>
  <c r="P520" i="1"/>
  <c r="O520" i="1"/>
  <c r="N520" i="1"/>
  <c r="M520" i="1"/>
  <c r="L520" i="1"/>
  <c r="X516" i="1" s="1"/>
  <c r="K520" i="1"/>
  <c r="J520" i="1"/>
  <c r="P525" i="1"/>
  <c r="O525" i="1"/>
  <c r="N525" i="1"/>
  <c r="M525" i="1"/>
  <c r="L525" i="1"/>
  <c r="K525" i="1"/>
  <c r="J525" i="1"/>
  <c r="R445" i="1"/>
  <c r="P340" i="1"/>
  <c r="O340" i="1"/>
  <c r="R756" i="1"/>
  <c r="S300" i="1"/>
  <c r="U270" i="1"/>
  <c r="T270" i="1"/>
  <c r="Q776" i="1"/>
  <c r="Q771" i="1"/>
  <c r="R766" i="1"/>
  <c r="Q766" i="1"/>
  <c r="Q756" i="1"/>
  <c r="Q686" i="1"/>
  <c r="Q445" i="1"/>
  <c r="Q339" i="1"/>
  <c r="Q340" i="1" s="1"/>
  <c r="Q325" i="1"/>
  <c r="Q290" i="1"/>
  <c r="S270" i="1"/>
  <c r="R270" i="1"/>
  <c r="Q270" i="1"/>
  <c r="P270" i="1"/>
  <c r="F626" i="1" l="1"/>
  <c r="F516" i="1"/>
  <c r="X521" i="1"/>
  <c r="F521" i="1" s="1"/>
  <c r="N340" i="1"/>
  <c r="P325" i="1"/>
  <c r="P81" i="1" l="1"/>
  <c r="O81" i="1"/>
  <c r="N81" i="1"/>
  <c r="M81" i="1"/>
  <c r="L81" i="1"/>
  <c r="K81" i="1"/>
  <c r="J78" i="1"/>
  <c r="J81" i="1" s="1"/>
  <c r="P555" i="1"/>
  <c r="O555" i="1"/>
  <c r="N555" i="1"/>
  <c r="M555" i="1"/>
  <c r="L555" i="1"/>
  <c r="P550" i="1"/>
  <c r="O550" i="1"/>
  <c r="N550" i="1"/>
  <c r="M550" i="1"/>
  <c r="L550" i="1"/>
  <c r="P540" i="1"/>
  <c r="O540" i="1"/>
  <c r="N540" i="1"/>
  <c r="M540" i="1"/>
  <c r="L540" i="1"/>
  <c r="X78" i="1" l="1"/>
  <c r="X551" i="1"/>
  <c r="X546" i="1"/>
  <c r="X536" i="1"/>
  <c r="P545" i="1"/>
  <c r="O545" i="1"/>
  <c r="N545" i="1"/>
  <c r="M545" i="1"/>
  <c r="L545" i="1"/>
  <c r="S305" i="1"/>
  <c r="T305" i="1"/>
  <c r="M199" i="1"/>
  <c r="N199" i="1"/>
  <c r="O199" i="1"/>
  <c r="P199" i="1"/>
  <c r="Q199" i="1"/>
  <c r="R199" i="1"/>
  <c r="S199" i="1"/>
  <c r="T199" i="1"/>
  <c r="L199" i="1"/>
  <c r="X194" i="1" l="1"/>
  <c r="F194" i="1" s="1"/>
  <c r="X541" i="1"/>
  <c r="P510" i="1"/>
  <c r="O510" i="1"/>
  <c r="N510" i="1"/>
  <c r="M510" i="1"/>
  <c r="L510" i="1"/>
  <c r="P505" i="1"/>
  <c r="M505" i="1"/>
  <c r="L505" i="1"/>
  <c r="M500" i="1"/>
  <c r="L500" i="1"/>
  <c r="P495" i="1"/>
  <c r="O495" i="1"/>
  <c r="N495" i="1"/>
  <c r="M495" i="1"/>
  <c r="L495" i="1"/>
  <c r="X491" i="1" l="1"/>
  <c r="F491" i="1" s="1"/>
  <c r="X496" i="1"/>
  <c r="F496" i="1" s="1"/>
  <c r="X506" i="1"/>
  <c r="X501" i="1"/>
  <c r="F501" i="1" s="1"/>
  <c r="P380" i="1"/>
  <c r="O380" i="1"/>
  <c r="N380" i="1"/>
  <c r="M380" i="1"/>
  <c r="L380" i="1"/>
  <c r="K380" i="1"/>
  <c r="J380" i="1"/>
  <c r="P490" i="1"/>
  <c r="N490" i="1"/>
  <c r="M490" i="1"/>
  <c r="L490" i="1"/>
  <c r="P736" i="1"/>
  <c r="O736" i="1"/>
  <c r="N736" i="1"/>
  <c r="M736" i="1"/>
  <c r="L736" i="1"/>
  <c r="K732" i="1"/>
  <c r="K736" i="1" s="1"/>
  <c r="J732" i="1"/>
  <c r="J736" i="1" s="1"/>
  <c r="X486" i="1" l="1"/>
  <c r="F486" i="1" s="1"/>
  <c r="X376" i="1"/>
  <c r="F376" i="1" s="1"/>
  <c r="X732" i="1"/>
  <c r="F732" i="1" s="1"/>
  <c r="P480" i="1" l="1"/>
  <c r="O480" i="1"/>
  <c r="N480" i="1"/>
  <c r="M480" i="1"/>
  <c r="L480" i="1"/>
  <c r="X476" i="1" l="1"/>
  <c r="F476" i="1" s="1"/>
  <c r="W209" i="1" l="1"/>
  <c r="V209" i="1"/>
  <c r="U209" i="1"/>
  <c r="T209" i="1"/>
  <c r="S209" i="1"/>
  <c r="R209" i="1"/>
  <c r="Q209" i="1"/>
  <c r="P209" i="1"/>
  <c r="O209" i="1"/>
  <c r="N209" i="1"/>
  <c r="M209" i="1"/>
  <c r="L209" i="1"/>
  <c r="J209" i="1"/>
  <c r="K205" i="1"/>
  <c r="K209" i="1" s="1"/>
  <c r="S204" i="1"/>
  <c r="T204" i="1"/>
  <c r="U204" i="1"/>
  <c r="V204" i="1"/>
  <c r="W204" i="1"/>
  <c r="Q178" i="1"/>
  <c r="R178" i="1"/>
  <c r="S178" i="1"/>
  <c r="T178" i="1"/>
  <c r="U178" i="1"/>
  <c r="V178" i="1"/>
  <c r="W178" i="1"/>
  <c r="Q183" i="1"/>
  <c r="R183" i="1"/>
  <c r="S183" i="1"/>
  <c r="T183" i="1"/>
  <c r="U183" i="1"/>
  <c r="V183" i="1"/>
  <c r="W183" i="1"/>
  <c r="S188" i="1"/>
  <c r="T188" i="1"/>
  <c r="U188" i="1"/>
  <c r="V188" i="1"/>
  <c r="W188" i="1"/>
  <c r="P193" i="1"/>
  <c r="Q193" i="1"/>
  <c r="R193" i="1"/>
  <c r="S193" i="1"/>
  <c r="T193" i="1"/>
  <c r="U193" i="1"/>
  <c r="V193" i="1"/>
  <c r="W193" i="1"/>
  <c r="X205" i="1" l="1"/>
  <c r="F205" i="1" s="1"/>
  <c r="V660" i="1"/>
  <c r="W660" i="1"/>
  <c r="P645" i="1"/>
  <c r="O645" i="1"/>
  <c r="N645" i="1"/>
  <c r="M645" i="1"/>
  <c r="L645" i="1"/>
  <c r="J58" i="1"/>
  <c r="K58" i="1"/>
  <c r="L58" i="1"/>
  <c r="M58" i="1"/>
  <c r="N58" i="1"/>
  <c r="O58" i="1"/>
  <c r="P58" i="1"/>
  <c r="X53" i="1" l="1"/>
  <c r="X641" i="1"/>
  <c r="F641" i="1" s="1"/>
  <c r="O52" i="1"/>
  <c r="N52" i="1"/>
  <c r="M52" i="1"/>
  <c r="L52" i="1"/>
  <c r="K52" i="1"/>
  <c r="J52" i="1"/>
  <c r="P655" i="1"/>
  <c r="O655" i="1"/>
  <c r="N655" i="1"/>
  <c r="M655" i="1"/>
  <c r="L655" i="1"/>
  <c r="O29" i="1"/>
  <c r="O22" i="1" s="1"/>
  <c r="N29" i="1"/>
  <c r="L29" i="1"/>
  <c r="K29" i="1"/>
  <c r="J29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P640" i="1"/>
  <c r="O640" i="1"/>
  <c r="N640" i="1"/>
  <c r="M640" i="1"/>
  <c r="L640" i="1"/>
  <c r="R300" i="1"/>
  <c r="F48" i="1" l="1"/>
  <c r="X48" i="1"/>
  <c r="X23" i="1"/>
  <c r="X651" i="1"/>
  <c r="X727" i="1"/>
  <c r="F727" i="1" s="1"/>
  <c r="X636" i="1"/>
  <c r="F636" i="1" s="1"/>
  <c r="Q21" i="1"/>
  <c r="R21" i="1"/>
  <c r="S21" i="1"/>
  <c r="T21" i="1"/>
  <c r="U21" i="1"/>
  <c r="V21" i="1"/>
  <c r="W21" i="1"/>
  <c r="W791" i="1"/>
  <c r="V791" i="1"/>
  <c r="N791" i="1"/>
  <c r="M791" i="1"/>
  <c r="L791" i="1"/>
  <c r="Q786" i="1"/>
  <c r="R786" i="1"/>
  <c r="S786" i="1"/>
  <c r="T786" i="1"/>
  <c r="U786" i="1"/>
  <c r="V786" i="1"/>
  <c r="W786" i="1"/>
  <c r="Q781" i="1"/>
  <c r="R781" i="1"/>
  <c r="S781" i="1"/>
  <c r="T781" i="1"/>
  <c r="U781" i="1"/>
  <c r="V781" i="1"/>
  <c r="W781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M711" i="1"/>
  <c r="N711" i="1"/>
  <c r="O711" i="1"/>
  <c r="P711" i="1"/>
  <c r="Q711" i="1"/>
  <c r="R711" i="1"/>
  <c r="S711" i="1"/>
  <c r="T711" i="1"/>
  <c r="U711" i="1"/>
  <c r="V711" i="1"/>
  <c r="W711" i="1"/>
  <c r="M716" i="1"/>
  <c r="N716" i="1"/>
  <c r="O716" i="1"/>
  <c r="P716" i="1"/>
  <c r="Q716" i="1"/>
  <c r="R716" i="1"/>
  <c r="S716" i="1"/>
  <c r="T716" i="1"/>
  <c r="U716" i="1"/>
  <c r="V716" i="1"/>
  <c r="W716" i="1"/>
  <c r="M706" i="1"/>
  <c r="N706" i="1"/>
  <c r="O706" i="1"/>
  <c r="P706" i="1"/>
  <c r="Q706" i="1"/>
  <c r="R706" i="1"/>
  <c r="S706" i="1"/>
  <c r="T706" i="1"/>
  <c r="U706" i="1"/>
  <c r="V706" i="1"/>
  <c r="W706" i="1"/>
  <c r="L706" i="1"/>
  <c r="M701" i="1"/>
  <c r="N701" i="1"/>
  <c r="O701" i="1"/>
  <c r="P701" i="1"/>
  <c r="Q701" i="1"/>
  <c r="R701" i="1"/>
  <c r="S701" i="1"/>
  <c r="T701" i="1"/>
  <c r="U701" i="1"/>
  <c r="V701" i="1"/>
  <c r="W701" i="1"/>
  <c r="L701" i="1"/>
  <c r="M691" i="1"/>
  <c r="N691" i="1"/>
  <c r="O691" i="1"/>
  <c r="P691" i="1"/>
  <c r="Q691" i="1"/>
  <c r="R691" i="1"/>
  <c r="S691" i="1"/>
  <c r="T691" i="1"/>
  <c r="U691" i="1"/>
  <c r="V691" i="1"/>
  <c r="W691" i="1"/>
  <c r="L691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Q665" i="1"/>
  <c r="R665" i="1"/>
  <c r="S665" i="1"/>
  <c r="T665" i="1"/>
  <c r="U665" i="1"/>
  <c r="V665" i="1"/>
  <c r="W665" i="1"/>
  <c r="Q660" i="1"/>
  <c r="R660" i="1"/>
  <c r="S660" i="1"/>
  <c r="T660" i="1"/>
  <c r="U660" i="1"/>
  <c r="P635" i="1"/>
  <c r="O635" i="1"/>
  <c r="N635" i="1"/>
  <c r="M635" i="1"/>
  <c r="L635" i="1"/>
  <c r="P625" i="1"/>
  <c r="O625" i="1"/>
  <c r="N625" i="1"/>
  <c r="M625" i="1"/>
  <c r="L625" i="1"/>
  <c r="X621" i="1" s="1"/>
  <c r="P615" i="1"/>
  <c r="O615" i="1"/>
  <c r="N615" i="1"/>
  <c r="M615" i="1"/>
  <c r="L615" i="1"/>
  <c r="X787" i="1" l="1"/>
  <c r="F23" i="1"/>
  <c r="X702" i="1"/>
  <c r="X687" i="1"/>
  <c r="X697" i="1"/>
  <c r="X631" i="1"/>
  <c r="F631" i="1" s="1"/>
  <c r="F651" i="1"/>
  <c r="F621" i="1"/>
  <c r="X717" i="1"/>
  <c r="X671" i="1"/>
  <c r="F697" i="1"/>
  <c r="F702" i="1"/>
  <c r="F787" i="1"/>
  <c r="X722" i="1"/>
  <c r="F722" i="1" s="1"/>
  <c r="X611" i="1"/>
  <c r="F687" i="1" l="1"/>
  <c r="P560" i="1"/>
  <c r="O560" i="1"/>
  <c r="N560" i="1"/>
  <c r="M560" i="1"/>
  <c r="L560" i="1"/>
  <c r="P535" i="1"/>
  <c r="O535" i="1"/>
  <c r="N535" i="1"/>
  <c r="M535" i="1"/>
  <c r="L535" i="1"/>
  <c r="P530" i="1"/>
  <c r="O530" i="1"/>
  <c r="N530" i="1"/>
  <c r="M530" i="1"/>
  <c r="L530" i="1"/>
  <c r="P485" i="1"/>
  <c r="O485" i="1"/>
  <c r="N485" i="1"/>
  <c r="M485" i="1"/>
  <c r="L485" i="1"/>
  <c r="P475" i="1"/>
  <c r="O475" i="1"/>
  <c r="N475" i="1"/>
  <c r="M475" i="1"/>
  <c r="L475" i="1"/>
  <c r="P470" i="1"/>
  <c r="O470" i="1"/>
  <c r="N470" i="1"/>
  <c r="M470" i="1"/>
  <c r="L470" i="1"/>
  <c r="P465" i="1"/>
  <c r="O465" i="1"/>
  <c r="N465" i="1"/>
  <c r="M465" i="1"/>
  <c r="L465" i="1"/>
  <c r="F461" i="1" s="1"/>
  <c r="P460" i="1"/>
  <c r="O460" i="1"/>
  <c r="N460" i="1"/>
  <c r="M460" i="1"/>
  <c r="L460" i="1"/>
  <c r="P455" i="1"/>
  <c r="O455" i="1"/>
  <c r="N455" i="1"/>
  <c r="M455" i="1"/>
  <c r="L455" i="1"/>
  <c r="P450" i="1"/>
  <c r="O450" i="1"/>
  <c r="N450" i="1"/>
  <c r="M450" i="1"/>
  <c r="L450" i="1"/>
  <c r="P445" i="1"/>
  <c r="O445" i="1"/>
  <c r="N445" i="1"/>
  <c r="M445" i="1"/>
  <c r="L445" i="1"/>
  <c r="K445" i="1"/>
  <c r="J445" i="1"/>
  <c r="Q330" i="1"/>
  <c r="R330" i="1"/>
  <c r="S330" i="1"/>
  <c r="T330" i="1"/>
  <c r="U330" i="1"/>
  <c r="V330" i="1"/>
  <c r="W330" i="1"/>
  <c r="R305" i="1"/>
  <c r="Q305" i="1"/>
  <c r="Q300" i="1"/>
  <c r="Q250" i="1"/>
  <c r="Q204" i="1"/>
  <c r="R204" i="1"/>
  <c r="R188" i="1"/>
  <c r="Q188" i="1"/>
  <c r="X441" i="1" l="1"/>
  <c r="F441" i="1" s="1"/>
  <c r="V136" i="1"/>
  <c r="U136" i="1"/>
  <c r="W136" i="1"/>
  <c r="X481" i="1"/>
  <c r="F481" i="1" s="1"/>
  <c r="X531" i="1"/>
  <c r="F531" i="1" s="1"/>
  <c r="X556" i="1"/>
  <c r="F556" i="1" s="1"/>
  <c r="X526" i="1"/>
  <c r="F526" i="1" s="1"/>
  <c r="X471" i="1"/>
  <c r="F471" i="1" s="1"/>
  <c r="X461" i="1"/>
  <c r="X466" i="1"/>
  <c r="F466" i="1" s="1"/>
  <c r="X456" i="1"/>
  <c r="F456" i="1" s="1"/>
  <c r="X451" i="1"/>
  <c r="F451" i="1" s="1"/>
  <c r="X446" i="1"/>
  <c r="W128" i="1" l="1"/>
  <c r="W122" i="1" s="1"/>
  <c r="V128" i="1"/>
  <c r="V122" i="1" s="1"/>
  <c r="W135" i="1"/>
  <c r="W129" i="1" s="1"/>
  <c r="W20" i="1" s="1"/>
  <c r="V135" i="1"/>
  <c r="V129" i="1" s="1"/>
  <c r="V20" i="1" s="1"/>
  <c r="U135" i="1"/>
  <c r="T135" i="1"/>
  <c r="S135" i="1"/>
  <c r="R135" i="1"/>
  <c r="Q135" i="1"/>
  <c r="P135" i="1"/>
  <c r="O135" i="1"/>
  <c r="N135" i="1"/>
  <c r="M135" i="1"/>
  <c r="M129" i="1" s="1"/>
  <c r="W121" i="1" l="1"/>
  <c r="V121" i="1"/>
  <c r="W19" i="1"/>
  <c r="V19" i="1"/>
  <c r="V18" i="1" l="1"/>
  <c r="W18" i="1"/>
  <c r="L716" i="1" l="1"/>
  <c r="L711" i="1"/>
  <c r="X707" i="1" s="1"/>
  <c r="X712" i="1" l="1"/>
  <c r="U129" i="1"/>
  <c r="U20" i="1" s="1"/>
  <c r="T129" i="1"/>
  <c r="T20" i="1" s="1"/>
  <c r="S129" i="1"/>
  <c r="S20" i="1" s="1"/>
  <c r="R129" i="1"/>
  <c r="R20" i="1" s="1"/>
  <c r="Q129" i="1"/>
  <c r="Q20" i="1" s="1"/>
  <c r="X128" i="1"/>
  <c r="U128" i="1"/>
  <c r="U122" i="1" s="1"/>
  <c r="T128" i="1"/>
  <c r="T122" i="1" s="1"/>
  <c r="S128" i="1"/>
  <c r="S122" i="1" s="1"/>
  <c r="R128" i="1"/>
  <c r="R122" i="1" s="1"/>
  <c r="R19" i="1" s="1"/>
  <c r="Q128" i="1"/>
  <c r="Q122" i="1" s="1"/>
  <c r="Q19" i="1" s="1"/>
  <c r="P129" i="1"/>
  <c r="O129" i="1"/>
  <c r="N129" i="1"/>
  <c r="L135" i="1"/>
  <c r="X129" i="1" s="1"/>
  <c r="K135" i="1"/>
  <c r="J135" i="1"/>
  <c r="P128" i="1"/>
  <c r="P122" i="1" s="1"/>
  <c r="P19" i="1" s="1"/>
  <c r="O128" i="1"/>
  <c r="N128" i="1"/>
  <c r="N122" i="1" s="1"/>
  <c r="M128" i="1"/>
  <c r="L128" i="1"/>
  <c r="K128" i="1"/>
  <c r="J128" i="1"/>
  <c r="T136" i="1"/>
  <c r="R136" i="1"/>
  <c r="Q136" i="1"/>
  <c r="X122" i="1" l="1"/>
  <c r="F123" i="1" s="1"/>
  <c r="L122" i="1"/>
  <c r="L129" i="1"/>
  <c r="K122" i="1"/>
  <c r="K129" i="1"/>
  <c r="O122" i="1"/>
  <c r="O121" i="1" s="1"/>
  <c r="M122" i="1"/>
  <c r="M121" i="1" s="1"/>
  <c r="R121" i="1"/>
  <c r="N121" i="1"/>
  <c r="U19" i="1"/>
  <c r="U121" i="1"/>
  <c r="T121" i="1"/>
  <c r="T19" i="1"/>
  <c r="S19" i="1"/>
  <c r="S121" i="1"/>
  <c r="Q121" i="1"/>
  <c r="P121" i="1"/>
  <c r="S136" i="1"/>
  <c r="X121" i="1" l="1"/>
  <c r="F130" i="1"/>
  <c r="F129" i="1"/>
  <c r="L121" i="1"/>
  <c r="Q18" i="1"/>
  <c r="U18" i="1"/>
  <c r="T18" i="1"/>
  <c r="R18" i="1"/>
  <c r="S18" i="1"/>
  <c r="K782" i="1" l="1"/>
  <c r="K431" i="1"/>
  <c r="K371" i="1"/>
  <c r="K351" i="1"/>
  <c r="K200" i="1"/>
  <c r="K706" i="1" l="1"/>
  <c r="J706" i="1"/>
  <c r="J440" i="1"/>
  <c r="P440" i="1"/>
  <c r="O440" i="1"/>
  <c r="N440" i="1"/>
  <c r="M440" i="1"/>
  <c r="L440" i="1"/>
  <c r="K440" i="1"/>
  <c r="K716" i="1"/>
  <c r="J716" i="1"/>
  <c r="K711" i="1"/>
  <c r="J711" i="1"/>
  <c r="K701" i="1"/>
  <c r="K691" i="1"/>
  <c r="J701" i="1"/>
  <c r="X436" i="1" l="1"/>
  <c r="P235" i="1"/>
  <c r="O235" i="1"/>
  <c r="N235" i="1"/>
  <c r="M235" i="1"/>
  <c r="L235" i="1"/>
  <c r="K235" i="1"/>
  <c r="J235" i="1"/>
  <c r="P219" i="1"/>
  <c r="O219" i="1"/>
  <c r="N219" i="1"/>
  <c r="M219" i="1"/>
  <c r="L219" i="1"/>
  <c r="K219" i="1"/>
  <c r="J219" i="1"/>
  <c r="P116" i="1"/>
  <c r="O116" i="1"/>
  <c r="N116" i="1"/>
  <c r="M116" i="1"/>
  <c r="L116" i="1"/>
  <c r="K116" i="1"/>
  <c r="J116" i="1"/>
  <c r="X215" i="1" l="1"/>
  <c r="F215" i="1" s="1"/>
  <c r="P225" i="1"/>
  <c r="O225" i="1"/>
  <c r="N225" i="1"/>
  <c r="M225" i="1"/>
  <c r="L225" i="1"/>
  <c r="K225" i="1"/>
  <c r="J225" i="1"/>
  <c r="J230" i="1"/>
  <c r="X226" i="1" s="1"/>
  <c r="X220" i="1" l="1"/>
  <c r="K157" i="1"/>
  <c r="L157" i="1"/>
  <c r="M157" i="1"/>
  <c r="N157" i="1"/>
  <c r="O157" i="1"/>
  <c r="P157" i="1"/>
  <c r="J157" i="1"/>
  <c r="X153" i="1" l="1"/>
  <c r="K435" i="1"/>
  <c r="L435" i="1"/>
  <c r="M435" i="1"/>
  <c r="N435" i="1"/>
  <c r="O435" i="1"/>
  <c r="P435" i="1"/>
  <c r="J435" i="1"/>
  <c r="K425" i="1"/>
  <c r="L425" i="1"/>
  <c r="M425" i="1"/>
  <c r="N425" i="1"/>
  <c r="O425" i="1"/>
  <c r="P425" i="1"/>
  <c r="J425" i="1"/>
  <c r="J691" i="1"/>
  <c r="K580" i="1"/>
  <c r="L580" i="1"/>
  <c r="M580" i="1"/>
  <c r="N580" i="1"/>
  <c r="O580" i="1"/>
  <c r="P580" i="1"/>
  <c r="J580" i="1"/>
  <c r="K430" i="1"/>
  <c r="L430" i="1"/>
  <c r="M430" i="1"/>
  <c r="N430" i="1"/>
  <c r="O430" i="1"/>
  <c r="P430" i="1"/>
  <c r="J430" i="1"/>
  <c r="K600" i="1"/>
  <c r="L600" i="1"/>
  <c r="M600" i="1"/>
  <c r="N600" i="1"/>
  <c r="O600" i="1"/>
  <c r="P600" i="1"/>
  <c r="J600" i="1"/>
  <c r="X576" i="1" l="1"/>
  <c r="X431" i="1"/>
  <c r="F431" i="1" s="1"/>
  <c r="F576" i="1"/>
  <c r="X596" i="1"/>
  <c r="X426" i="1"/>
  <c r="X421" i="1"/>
  <c r="J47" i="1"/>
  <c r="K42" i="1"/>
  <c r="J42" i="1"/>
  <c r="P686" i="1" l="1"/>
  <c r="O686" i="1"/>
  <c r="N686" i="1"/>
  <c r="M686" i="1"/>
  <c r="L686" i="1"/>
  <c r="K686" i="1"/>
  <c r="J686" i="1"/>
  <c r="P680" i="1"/>
  <c r="O680" i="1"/>
  <c r="N680" i="1"/>
  <c r="M680" i="1"/>
  <c r="L680" i="1"/>
  <c r="K680" i="1"/>
  <c r="J680" i="1"/>
  <c r="X676" i="1" l="1"/>
  <c r="X681" i="1"/>
  <c r="F681" i="1" s="1"/>
  <c r="O585" i="1"/>
  <c r="N585" i="1"/>
  <c r="M585" i="1"/>
  <c r="L585" i="1"/>
  <c r="X581" i="1" s="1"/>
  <c r="F581" i="1" s="1"/>
  <c r="K585" i="1"/>
  <c r="J585" i="1"/>
  <c r="O173" i="1"/>
  <c r="N173" i="1"/>
  <c r="M173" i="1"/>
  <c r="L173" i="1"/>
  <c r="K173" i="1"/>
  <c r="J173" i="1"/>
  <c r="N167" i="1"/>
  <c r="M167" i="1"/>
  <c r="L167" i="1"/>
  <c r="K167" i="1"/>
  <c r="J167" i="1"/>
  <c r="O162" i="1"/>
  <c r="O137" i="1" s="1"/>
  <c r="N162" i="1"/>
  <c r="N137" i="1" s="1"/>
  <c r="M162" i="1"/>
  <c r="M137" i="1" s="1"/>
  <c r="L162" i="1"/>
  <c r="K162" i="1"/>
  <c r="J162" i="1"/>
  <c r="O152" i="1"/>
  <c r="N152" i="1"/>
  <c r="M152" i="1"/>
  <c r="L152" i="1"/>
  <c r="K152" i="1"/>
  <c r="J152" i="1"/>
  <c r="M147" i="1"/>
  <c r="L147" i="1"/>
  <c r="K147" i="1"/>
  <c r="J147" i="1"/>
  <c r="X158" i="1" l="1"/>
  <c r="X143" i="1"/>
  <c r="X148" i="1"/>
  <c r="K137" i="1"/>
  <c r="J137" i="1"/>
  <c r="X163" i="1"/>
  <c r="X137" i="1" l="1"/>
  <c r="F158" i="1"/>
  <c r="F137" i="1"/>
  <c r="O47" i="1"/>
  <c r="N47" i="1"/>
  <c r="M47" i="1"/>
  <c r="L47" i="1"/>
  <c r="K47" i="1"/>
  <c r="O42" i="1"/>
  <c r="N42" i="1"/>
  <c r="M42" i="1"/>
  <c r="L42" i="1"/>
  <c r="N37" i="1"/>
  <c r="N22" i="1" s="1"/>
  <c r="M37" i="1"/>
  <c r="L37" i="1"/>
  <c r="X30" i="1" s="1"/>
  <c r="X22" i="1" s="1"/>
  <c r="K37" i="1"/>
  <c r="J37" i="1"/>
  <c r="L22" i="1" l="1"/>
  <c r="L19" i="1" s="1"/>
  <c r="M22" i="1"/>
  <c r="O19" i="1"/>
  <c r="X43" i="1"/>
  <c r="F43" i="1" s="1"/>
  <c r="F30" i="1"/>
  <c r="F22" i="1" s="1"/>
  <c r="X38" i="1"/>
  <c r="K22" i="1"/>
  <c r="K19" i="1" s="1"/>
  <c r="J22" i="1"/>
  <c r="J98" i="1"/>
  <c r="J77" i="1"/>
  <c r="N19" i="1" l="1"/>
  <c r="M19" i="1"/>
  <c r="K204" i="1"/>
  <c r="L204" i="1"/>
  <c r="M204" i="1"/>
  <c r="N204" i="1"/>
  <c r="O204" i="1"/>
  <c r="P204" i="1"/>
  <c r="K325" i="1"/>
  <c r="O325" i="1"/>
  <c r="K340" i="1"/>
  <c r="L340" i="1"/>
  <c r="X336" i="1" s="1"/>
  <c r="M340" i="1"/>
  <c r="M595" i="1"/>
  <c r="K360" i="1"/>
  <c r="L360" i="1"/>
  <c r="N360" i="1"/>
  <c r="O360" i="1"/>
  <c r="P360" i="1"/>
  <c r="M325" i="1"/>
  <c r="L325" i="1"/>
  <c r="K335" i="1"/>
  <c r="L335" i="1"/>
  <c r="M335" i="1"/>
  <c r="N335" i="1"/>
  <c r="O335" i="1"/>
  <c r="P335" i="1"/>
  <c r="P595" i="1"/>
  <c r="O595" i="1"/>
  <c r="N595" i="1"/>
  <c r="L595" i="1"/>
  <c r="X591" i="1" s="1"/>
  <c r="K595" i="1"/>
  <c r="J595" i="1"/>
  <c r="J782" i="1"/>
  <c r="J104" i="1"/>
  <c r="J110" i="1"/>
  <c r="X331" i="1" l="1"/>
  <c r="X321" i="1"/>
  <c r="X200" i="1"/>
  <c r="X19" i="1"/>
  <c r="F331" i="1"/>
  <c r="F200" i="1"/>
  <c r="F336" i="1"/>
  <c r="J6" i="1"/>
  <c r="K330" i="1" l="1"/>
  <c r="L330" i="1"/>
  <c r="M330" i="1"/>
  <c r="N330" i="1"/>
  <c r="O330" i="1"/>
  <c r="P330" i="1"/>
  <c r="J330" i="1"/>
  <c r="J184" i="1"/>
  <c r="M360" i="1"/>
  <c r="X356" i="1" s="1"/>
  <c r="X326" i="1" l="1"/>
  <c r="F326" i="1" s="1"/>
  <c r="K305" i="1"/>
  <c r="L305" i="1"/>
  <c r="M305" i="1"/>
  <c r="N305" i="1"/>
  <c r="O305" i="1"/>
  <c r="P305" i="1"/>
  <c r="J305" i="1"/>
  <c r="K6" i="1"/>
  <c r="L6" i="1"/>
  <c r="M6" i="1"/>
  <c r="N6" i="1"/>
  <c r="O6" i="1"/>
  <c r="J270" i="1"/>
  <c r="X301" i="1" l="1"/>
  <c r="F301" i="1" s="1"/>
  <c r="P415" i="1"/>
  <c r="O415" i="1"/>
  <c r="N415" i="1"/>
  <c r="M415" i="1"/>
  <c r="X411" i="1" s="1"/>
  <c r="L415" i="1"/>
  <c r="K415" i="1"/>
  <c r="J415" i="1"/>
  <c r="K410" i="1"/>
  <c r="L410" i="1"/>
  <c r="M410" i="1"/>
  <c r="N410" i="1"/>
  <c r="O410" i="1"/>
  <c r="P410" i="1"/>
  <c r="J410" i="1"/>
  <c r="K355" i="1"/>
  <c r="L355" i="1"/>
  <c r="M355" i="1"/>
  <c r="N355" i="1"/>
  <c r="O355" i="1"/>
  <c r="P355" i="1"/>
  <c r="J355" i="1"/>
  <c r="K350" i="1"/>
  <c r="L350" i="1"/>
  <c r="M350" i="1"/>
  <c r="N350" i="1"/>
  <c r="O350" i="1"/>
  <c r="P350" i="1"/>
  <c r="J350" i="1"/>
  <c r="K345" i="1"/>
  <c r="L345" i="1"/>
  <c r="M345" i="1"/>
  <c r="N345" i="1"/>
  <c r="O345" i="1"/>
  <c r="P345" i="1"/>
  <c r="J345" i="1"/>
  <c r="K320" i="1"/>
  <c r="L320" i="1"/>
  <c r="M320" i="1"/>
  <c r="N320" i="1"/>
  <c r="O320" i="1"/>
  <c r="J320" i="1"/>
  <c r="K295" i="1"/>
  <c r="L295" i="1"/>
  <c r="M295" i="1"/>
  <c r="N295" i="1"/>
  <c r="O295" i="1"/>
  <c r="P295" i="1"/>
  <c r="K300" i="1"/>
  <c r="L300" i="1"/>
  <c r="M300" i="1"/>
  <c r="N300" i="1"/>
  <c r="O300" i="1"/>
  <c r="P300" i="1"/>
  <c r="J256" i="1"/>
  <c r="X291" i="1" l="1"/>
  <c r="X406" i="1"/>
  <c r="X316" i="1"/>
  <c r="X341" i="1"/>
  <c r="X296" i="1"/>
  <c r="F296" i="1" s="1"/>
  <c r="F411" i="1"/>
  <c r="F341" i="1"/>
  <c r="F316" i="1"/>
  <c r="F291" i="1"/>
  <c r="F406" i="1"/>
  <c r="F321" i="1"/>
  <c r="X351" i="1"/>
  <c r="F351" i="1" s="1"/>
  <c r="X346" i="1"/>
  <c r="K199" i="1"/>
  <c r="J199" i="1"/>
  <c r="P781" i="1" l="1"/>
  <c r="O781" i="1"/>
  <c r="N781" i="1"/>
  <c r="L781" i="1"/>
  <c r="K781" i="1"/>
  <c r="J781" i="1"/>
  <c r="M781" i="1"/>
  <c r="P776" i="1"/>
  <c r="O776" i="1"/>
  <c r="N776" i="1"/>
  <c r="M776" i="1"/>
  <c r="L776" i="1"/>
  <c r="K776" i="1"/>
  <c r="J776" i="1"/>
  <c r="P420" i="1"/>
  <c r="O420" i="1"/>
  <c r="N420" i="1"/>
  <c r="M420" i="1"/>
  <c r="L420" i="1"/>
  <c r="K420" i="1"/>
  <c r="J420" i="1"/>
  <c r="X416" i="1" l="1"/>
  <c r="F416" i="1"/>
  <c r="X772" i="1"/>
  <c r="F772" i="1" s="1"/>
  <c r="X777" i="1"/>
  <c r="P188" i="1"/>
  <c r="O188" i="1"/>
  <c r="K605" i="1" l="1"/>
  <c r="L605" i="1"/>
  <c r="M605" i="1"/>
  <c r="N605" i="1"/>
  <c r="O605" i="1"/>
  <c r="P605" i="1"/>
  <c r="J605" i="1"/>
  <c r="F596" i="1" l="1"/>
  <c r="F591" i="1"/>
  <c r="X601" i="1"/>
  <c r="K183" i="1" l="1"/>
  <c r="J183" i="1"/>
  <c r="J204" i="1"/>
  <c r="P183" i="1"/>
  <c r="O183" i="1"/>
  <c r="N183" i="1"/>
  <c r="M183" i="1"/>
  <c r="L183" i="1"/>
  <c r="X179" i="1" l="1"/>
  <c r="F179" i="1" s="1"/>
  <c r="J176" i="1"/>
  <c r="J175" i="1"/>
  <c r="J178" i="1" l="1"/>
  <c r="M93" i="1"/>
  <c r="O93" i="1"/>
  <c r="P93" i="1"/>
  <c r="L93" i="1"/>
  <c r="X87" i="1" s="1"/>
  <c r="F87" i="1" s="1"/>
  <c r="K93" i="1"/>
  <c r="J88" i="1"/>
  <c r="J61" i="1"/>
  <c r="J65" i="1" s="1"/>
  <c r="J93" i="1" l="1"/>
  <c r="J59" i="1" s="1"/>
  <c r="J21" i="1" l="1"/>
  <c r="N315" i="1"/>
  <c r="O315" i="1"/>
  <c r="P315" i="1"/>
  <c r="J189" i="1"/>
  <c r="K747" i="1" l="1"/>
  <c r="J747" i="1"/>
  <c r="P77" i="1" l="1"/>
  <c r="O77" i="1"/>
  <c r="N77" i="1"/>
  <c r="L77" i="1"/>
  <c r="K77" i="1"/>
  <c r="P65" i="1"/>
  <c r="O65" i="1"/>
  <c r="N65" i="1"/>
  <c r="M65" i="1"/>
  <c r="M59" i="1" s="1"/>
  <c r="L65" i="1"/>
  <c r="K65" i="1"/>
  <c r="M21" i="1" l="1"/>
  <c r="X72" i="1"/>
  <c r="X60" i="1"/>
  <c r="L59" i="1"/>
  <c r="K751" i="1"/>
  <c r="L751" i="1"/>
  <c r="F60" i="1" l="1"/>
  <c r="F72" i="1"/>
  <c r="J771" i="1"/>
  <c r="J405" i="1"/>
  <c r="P400" i="1" l="1"/>
  <c r="O400" i="1"/>
  <c r="N400" i="1"/>
  <c r="M400" i="1"/>
  <c r="L400" i="1"/>
  <c r="K400" i="1"/>
  <c r="J400" i="1"/>
  <c r="X396" i="1" l="1"/>
  <c r="F396" i="1" s="1"/>
  <c r="P405" i="1"/>
  <c r="O405" i="1"/>
  <c r="N405" i="1"/>
  <c r="M405" i="1"/>
  <c r="L405" i="1"/>
  <c r="K405" i="1"/>
  <c r="J300" i="1"/>
  <c r="X401" i="1" l="1"/>
  <c r="F401" i="1" s="1"/>
  <c r="J260" i="1"/>
  <c r="J786" i="1" l="1"/>
  <c r="K786" i="1"/>
  <c r="L786" i="1"/>
  <c r="M786" i="1"/>
  <c r="N786" i="1"/>
  <c r="O786" i="1"/>
  <c r="P786" i="1"/>
  <c r="K771" i="1"/>
  <c r="L771" i="1"/>
  <c r="M771" i="1"/>
  <c r="N771" i="1"/>
  <c r="O771" i="1"/>
  <c r="P771" i="1"/>
  <c r="J766" i="1"/>
  <c r="K766" i="1"/>
  <c r="L766" i="1"/>
  <c r="M766" i="1"/>
  <c r="N766" i="1"/>
  <c r="O766" i="1"/>
  <c r="P766" i="1"/>
  <c r="X762" i="1" s="1"/>
  <c r="F762" i="1" s="1"/>
  <c r="J761" i="1"/>
  <c r="K761" i="1"/>
  <c r="L761" i="1"/>
  <c r="M761" i="1"/>
  <c r="N761" i="1"/>
  <c r="O761" i="1"/>
  <c r="P761" i="1"/>
  <c r="J756" i="1"/>
  <c r="K756" i="1"/>
  <c r="L756" i="1"/>
  <c r="M756" i="1"/>
  <c r="N756" i="1"/>
  <c r="O756" i="1"/>
  <c r="P756" i="1"/>
  <c r="J751" i="1"/>
  <c r="M751" i="1"/>
  <c r="N751" i="1"/>
  <c r="O751" i="1"/>
  <c r="P751" i="1"/>
  <c r="J665" i="1"/>
  <c r="K665" i="1"/>
  <c r="L665" i="1"/>
  <c r="M665" i="1"/>
  <c r="N665" i="1"/>
  <c r="O665" i="1"/>
  <c r="P665" i="1"/>
  <c r="J660" i="1"/>
  <c r="K660" i="1"/>
  <c r="L660" i="1"/>
  <c r="M660" i="1"/>
  <c r="N660" i="1"/>
  <c r="O660" i="1"/>
  <c r="P660" i="1"/>
  <c r="J375" i="1"/>
  <c r="K375" i="1"/>
  <c r="L375" i="1"/>
  <c r="M375" i="1"/>
  <c r="N375" i="1"/>
  <c r="O375" i="1"/>
  <c r="P375" i="1"/>
  <c r="K260" i="1"/>
  <c r="L260" i="1"/>
  <c r="M260" i="1"/>
  <c r="N260" i="1"/>
  <c r="O260" i="1"/>
  <c r="P260" i="1"/>
  <c r="J250" i="1"/>
  <c r="K250" i="1"/>
  <c r="L250" i="1"/>
  <c r="M250" i="1"/>
  <c r="N250" i="1"/>
  <c r="O250" i="1"/>
  <c r="P250" i="1"/>
  <c r="J245" i="1"/>
  <c r="K245" i="1"/>
  <c r="L245" i="1"/>
  <c r="M245" i="1"/>
  <c r="N245" i="1"/>
  <c r="O245" i="1"/>
  <c r="P245" i="1"/>
  <c r="J193" i="1"/>
  <c r="K193" i="1"/>
  <c r="L193" i="1"/>
  <c r="M193" i="1"/>
  <c r="N193" i="1"/>
  <c r="O193" i="1"/>
  <c r="J188" i="1"/>
  <c r="K188" i="1"/>
  <c r="L188" i="1"/>
  <c r="M188" i="1"/>
  <c r="N188" i="1"/>
  <c r="N168" i="1" s="1"/>
  <c r="K178" i="1"/>
  <c r="L178" i="1"/>
  <c r="M178" i="1"/>
  <c r="N178" i="1"/>
  <c r="O178" i="1"/>
  <c r="P178" i="1"/>
  <c r="X767" i="1" l="1"/>
  <c r="F767" i="1" s="1"/>
  <c r="X661" i="1"/>
  <c r="X752" i="1"/>
  <c r="X184" i="1"/>
  <c r="F184" i="1" s="1"/>
  <c r="X656" i="1"/>
  <c r="F656" i="1" s="1"/>
  <c r="X246" i="1"/>
  <c r="F246" i="1" s="1"/>
  <c r="X189" i="1"/>
  <c r="X256" i="1"/>
  <c r="F256" i="1" s="1"/>
  <c r="F752" i="1"/>
  <c r="X747" i="1"/>
  <c r="F661" i="1"/>
  <c r="X241" i="1"/>
  <c r="X174" i="1"/>
  <c r="X757" i="1"/>
  <c r="F757" i="1" s="1"/>
  <c r="X782" i="1"/>
  <c r="X371" i="1"/>
  <c r="P12" i="1"/>
  <c r="L12" i="1"/>
  <c r="N12" i="1"/>
  <c r="O12" i="1"/>
  <c r="K12" i="1"/>
  <c r="M12" i="1"/>
  <c r="J19" i="1"/>
  <c r="K98" i="1"/>
  <c r="K59" i="1" s="1"/>
  <c r="L98" i="1"/>
  <c r="M98" i="1"/>
  <c r="N98" i="1"/>
  <c r="O98" i="1"/>
  <c r="O59" i="1" s="1"/>
  <c r="P98" i="1"/>
  <c r="P59" i="1" s="1"/>
  <c r="K104" i="1"/>
  <c r="L104" i="1"/>
  <c r="M104" i="1"/>
  <c r="N104" i="1"/>
  <c r="O104" i="1"/>
  <c r="P104" i="1"/>
  <c r="K110" i="1"/>
  <c r="L110" i="1"/>
  <c r="M110" i="1"/>
  <c r="N110" i="1"/>
  <c r="O110" i="1"/>
  <c r="P110" i="1"/>
  <c r="X94" i="1" l="1"/>
  <c r="N59" i="1"/>
  <c r="N21" i="1" s="1"/>
  <c r="F241" i="1"/>
  <c r="F782" i="1"/>
  <c r="F174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5" i="1"/>
  <c r="J290" i="1"/>
  <c r="K290" i="1"/>
  <c r="L290" i="1"/>
  <c r="M290" i="1"/>
  <c r="N290" i="1"/>
  <c r="O290" i="1"/>
  <c r="P290" i="1"/>
  <c r="J280" i="1"/>
  <c r="K280" i="1"/>
  <c r="L280" i="1"/>
  <c r="M280" i="1"/>
  <c r="N280" i="1"/>
  <c r="O280" i="1"/>
  <c r="P280" i="1"/>
  <c r="J275" i="1"/>
  <c r="K275" i="1"/>
  <c r="L275" i="1"/>
  <c r="M275" i="1"/>
  <c r="N275" i="1"/>
  <c r="O275" i="1"/>
  <c r="P275" i="1"/>
  <c r="K270" i="1"/>
  <c r="L270" i="1"/>
  <c r="M270" i="1"/>
  <c r="N270" i="1"/>
  <c r="O270" i="1"/>
  <c r="J265" i="1"/>
  <c r="K265" i="1"/>
  <c r="L265" i="1"/>
  <c r="M265" i="1"/>
  <c r="N265" i="1"/>
  <c r="O265" i="1"/>
  <c r="P265" i="1"/>
  <c r="F94" i="1" l="1"/>
  <c r="F59" i="1" s="1"/>
  <c r="F21" i="1" s="1"/>
  <c r="X59" i="1"/>
  <c r="X21" i="1" s="1"/>
  <c r="X276" i="1"/>
  <c r="F276" i="1" s="1"/>
  <c r="X286" i="1"/>
  <c r="X271" i="1"/>
  <c r="X266" i="1"/>
  <c r="X261" i="1"/>
  <c r="F271" i="1"/>
  <c r="F266" i="1"/>
  <c r="F286" i="1"/>
  <c r="J9" i="1"/>
  <c r="K21" i="1"/>
  <c r="J17" i="1"/>
  <c r="P590" i="1"/>
  <c r="O590" i="1"/>
  <c r="N590" i="1"/>
  <c r="M590" i="1"/>
  <c r="L590" i="1"/>
  <c r="X586" i="1" s="1"/>
  <c r="K590" i="1"/>
  <c r="J590" i="1"/>
  <c r="P370" i="1"/>
  <c r="O370" i="1"/>
  <c r="N370" i="1"/>
  <c r="M370" i="1"/>
  <c r="L370" i="1"/>
  <c r="K370" i="1"/>
  <c r="J370" i="1"/>
  <c r="P365" i="1"/>
  <c r="O365" i="1"/>
  <c r="N365" i="1"/>
  <c r="M365" i="1"/>
  <c r="L365" i="1"/>
  <c r="K365" i="1"/>
  <c r="J365" i="1"/>
  <c r="J360" i="1"/>
  <c r="J12" i="1" s="1"/>
  <c r="J340" i="1"/>
  <c r="J335" i="1"/>
  <c r="J325" i="1"/>
  <c r="M315" i="1"/>
  <c r="L315" i="1"/>
  <c r="X311" i="1" s="1"/>
  <c r="X168" i="1" s="1"/>
  <c r="K315" i="1"/>
  <c r="J315" i="1"/>
  <c r="M310" i="1"/>
  <c r="M168" i="1" s="1"/>
  <c r="M20" i="1" s="1"/>
  <c r="L310" i="1"/>
  <c r="X306" i="1" s="1"/>
  <c r="K310" i="1"/>
  <c r="J310" i="1"/>
  <c r="J295" i="1"/>
  <c r="K121" i="1"/>
  <c r="J121" i="1"/>
  <c r="N20" i="1" l="1"/>
  <c r="X361" i="1"/>
  <c r="F306" i="1"/>
  <c r="O20" i="1"/>
  <c r="P20" i="1"/>
  <c r="F261" i="1"/>
  <c r="F586" i="1"/>
  <c r="L168" i="1"/>
  <c r="K168" i="1"/>
  <c r="K20" i="1" s="1"/>
  <c r="N10" i="1"/>
  <c r="N11" i="1" s="1"/>
  <c r="K10" i="1"/>
  <c r="K11" i="1" s="1"/>
  <c r="L10" i="1"/>
  <c r="L11" i="1" s="1"/>
  <c r="J168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6" i="1"/>
  <c r="X20" i="1" l="1"/>
  <c r="F361" i="1"/>
  <c r="F311" i="1"/>
  <c r="F168" i="1" s="1"/>
  <c r="L20" i="1"/>
  <c r="L18" i="1" s="1"/>
  <c r="L136" i="1"/>
  <c r="M136" i="1"/>
  <c r="P136" i="1"/>
  <c r="O136" i="1"/>
  <c r="M18" i="1"/>
  <c r="K136" i="1"/>
  <c r="J7" i="1"/>
  <c r="N136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6" i="1"/>
  <c r="J18" i="1" s="1"/>
  <c r="K18" i="1"/>
  <c r="F20" i="1" l="1"/>
  <c r="X136" i="1"/>
  <c r="X18" i="1"/>
  <c r="P13" i="1"/>
  <c r="P15" i="1" s="1"/>
  <c r="P18" i="1"/>
  <c r="N18" i="1"/>
  <c r="F122" i="1"/>
  <c r="F121" i="1" s="1"/>
  <c r="F136" i="1" l="1"/>
  <c r="F19" i="1"/>
  <c r="F18" i="1" s="1"/>
</calcChain>
</file>

<file path=xl/sharedStrings.xml><?xml version="1.0" encoding="utf-8"?>
<sst xmlns="http://schemas.openxmlformats.org/spreadsheetml/2006/main" count="1175" uniqueCount="264">
  <si>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</si>
  <si>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</si>
  <si>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</si>
  <si>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</si>
  <si>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</si>
  <si>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</si>
  <si>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</si>
  <si>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</si>
  <si>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</si>
  <si>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</si>
  <si>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</si>
  <si>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</si>
  <si>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</si>
  <si>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</si>
  <si>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</si>
  <si>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</si>
  <si>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</si>
  <si>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</si>
  <si>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</si>
  <si>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</si>
  <si>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</si>
  <si>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</si>
  <si>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</si>
  <si>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</si>
  <si>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</si>
  <si>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</si>
  <si>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</si>
  <si>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</si>
  <si>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</si>
  <si>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</si>
  <si>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</si>
  <si>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</si>
  <si>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</si>
  <si>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</si>
  <si>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</si>
  <si>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</si>
  <si>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</si>
  <si>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</si>
  <si>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</si>
  <si>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</si>
  <si>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</si>
  <si>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</si>
  <si>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</si>
  <si>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</si>
  <si>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</si>
  <si>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</si>
  <si>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</si>
  <si>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</si>
  <si>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</si>
  <si>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</si>
  <si>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</si>
  <si>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</si>
  <si>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</si>
  <si>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</si>
  <si>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</si>
  <si>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</si>
  <si>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</si>
  <si>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</si>
  <si>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</si>
  <si>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</si>
  <si>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</si>
  <si>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</si>
  <si>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</si>
  <si>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</si>
  <si>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</si>
  <si>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</si>
  <si>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</si>
  <si>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</si>
  <si>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</si>
  <si>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</si>
  <si>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</si>
  <si>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</si>
  <si>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</si>
  <si>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</si>
  <si>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</si>
  <si>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</si>
  <si>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</si>
  <si>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</si>
  <si>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</si>
  <si>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</si>
  <si>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</si>
  <si>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</si>
  <si>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</si>
  <si>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</si>
  <si>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</si>
  <si>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</si>
  <si>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</si>
  <si>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</si>
  <si>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</si>
  <si>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</si>
  <si>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</si>
  <si>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</si>
  <si>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</si>
  <si>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</si>
  <si>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</si>
  <si>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</si>
  <si>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</si>
  <si>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</si>
  <si>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</si>
  <si>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</si>
  <si>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</si>
  <si>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</si>
  <si>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</si>
  <si>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</si>
  <si>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</si>
  <si>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</si>
  <si>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</si>
  <si>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</si>
  <si>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</si>
  <si>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</si>
  <si>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</si>
  <si>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</si>
  <si>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</si>
  <si>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</si>
  <si>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</si>
  <si>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</si>
  <si>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</si>
  <si>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</si>
  <si>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</si>
  <si>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</si>
  <si>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</si>
  <si>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</si>
  <si>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</si>
  <si>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</si>
  <si>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Rewitalizacja przestrzeni publicznej w Runowie Sławińskim, Reblinie, Zębowie, poprzez zagospodarowanie terenów wokół zbiorników wodnych wraz z ich renaturyzacją
</t>
    </r>
    <r>
      <rPr>
        <sz val="7"/>
        <color rgb="FFFF0000"/>
        <rFont val="Arial"/>
        <family val="2"/>
        <charset val="238"/>
      </rPr>
      <t xml:space="preserve">Zadanie w części dofinansowane ze środków Europejskiego Funduszu Rozwoju Regionalnego w ramach Regionalnego Programu Operacyjnego Województwa Pomorskiego na lata 2014 – 2020 w ramach projektu "Utrzymanie naturalnych ekosystemów retencjonujących wodę w Gminie Kobylnica", w tym ze środków Funduszu Sołeckiego Sołectwa Runowo Sławieńskie w wys. 12737 zł. 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</si>
  <si>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</si>
  <si>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</si>
  <si>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</si>
  <si>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</si>
  <si>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</si>
  <si>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</si>
  <si>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</si>
  <si>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</si>
  <si>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</si>
  <si>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</si>
  <si>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</si>
  <si>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</si>
  <si>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</si>
  <si>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</si>
  <si>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</si>
  <si>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</si>
  <si>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</si>
  <si>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</si>
  <si>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</si>
  <si>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</si>
  <si>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</si>
  <si>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</si>
  <si>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</si>
  <si>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</si>
  <si>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</si>
  <si>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</si>
  <si>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</si>
  <si>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</si>
  <si>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</si>
  <si>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</si>
  <si>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</si>
  <si>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</si>
  <si>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</si>
  <si>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</si>
  <si>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</si>
  <si>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</si>
  <si>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</si>
  <si>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</si>
  <si>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</si>
  <si>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</si>
  <si>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</si>
  <si>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</si>
  <si>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</si>
  <si>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</si>
  <si>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</si>
  <si>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</si>
  <si>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</si>
  <si>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</si>
  <si>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</si>
  <si>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</si>
  <si>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</si>
  <si>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</si>
  <si>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</si>
  <si>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</si>
  <si>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</si>
  <si>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</si>
  <si>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</si>
  <si>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</si>
  <si>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</si>
  <si>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</si>
  <si>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</si>
  <si>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</si>
  <si>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</si>
  <si>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</si>
  <si>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</si>
  <si>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</si>
  <si>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</si>
  <si>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</si>
  <si>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</si>
  <si>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</si>
  <si>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</si>
  <si>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</si>
  <si>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</si>
  <si>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</si>
  <si>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</si>
  <si>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</si>
  <si>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</si>
  <si>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</si>
  <si>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</si>
  <si>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</si>
  <si>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</si>
  <si>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</si>
  <si>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</si>
  <si>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</si>
  <si>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</si>
  <si>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</si>
  <si>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</si>
  <si>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</si>
  <si>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</si>
  <si>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</si>
  <si>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</si>
  <si>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</si>
  <si>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</si>
  <si>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</si>
  <si>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</si>
  <si>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</si>
  <si>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</si>
  <si>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</si>
  <si>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</si>
  <si>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</si>
  <si>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</si>
  <si>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</si>
  <si>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</si>
  <si>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</si>
  <si>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</si>
  <si>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</si>
  <si>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</si>
  <si>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</si>
  <si>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</si>
  <si>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</si>
  <si>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</si>
  <si>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</si>
  <si>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</si>
  <si>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</si>
  <si>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</si>
  <si>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</si>
  <si>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</si>
  <si>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</si>
  <si>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</si>
  <si>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</si>
  <si>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</si>
  <si>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</si>
  <si>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</si>
  <si>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</si>
  <si>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</si>
  <si>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</si>
  <si>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</si>
  <si>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</si>
  <si>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</si>
  <si>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</si>
  <si>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</si>
  <si>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</si>
  <si>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 xml:space="preserve">Budowa drogi gminnej wraz z budową ciągu pieszo-rowerowego pomiędzy miejscowościami Łosino i Zajączkowo
</t>
  </si>
  <si>
    <t>URZĄD MIEJSKI W KOBYLNICY</t>
  </si>
  <si>
    <t xml:space="preserve">Rozbudowa drogi gminnej ulicy Kościeliskiej wraz z budową przejścia dla pieszych w ciągu drogi gminnej ulicy J. Szczypińskiej w Kobylnicy
</t>
  </si>
  <si>
    <t>Termomodernizacja szkoły podstawowej w Sycewicach</t>
  </si>
  <si>
    <t>OŚRODEK POMOCY SPOŁECZN. W KOBYLNICY</t>
  </si>
  <si>
    <r>
      <t xml:space="preserve"> "Równe szanse"                                                 </t>
    </r>
    <r>
      <rPr>
        <sz val="7"/>
        <rFont val="Arial"/>
        <family val="2"/>
        <charset val="238"/>
      </rPr>
      <t>kompleksowe usługi społeczno-zdrowotne na rzecz seniorów i osób z niepełnosprawnościami - Poprawa jakości życia mieszkańców</t>
    </r>
  </si>
  <si>
    <t>Przebudowa obiektu mostowego w Parku im. Pierwszych Mieszkańców Kobylnicy w ciągu drogi gminnej ul. Nad Śluzą w m. Kobylnica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</si>
</sst>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  <font>
      <sz val="6.5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79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4" fillId="13" borderId="20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4" xfId="0" applyNumberFormat="1" applyFont="1" applyFill="1" applyBorder="1" applyAlignment="1">
      <alignment vertical="center"/>
    </xf>
    <xf numFmtId="3" fontId="52" fillId="13" borderId="16" xfId="0" applyNumberFormat="1" applyFont="1" applyFill="1" applyBorder="1" applyAlignment="1">
      <alignment vertical="center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4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4" fillId="12" borderId="20" xfId="0" applyNumberFormat="1" applyFont="1" applyFill="1" applyBorder="1" applyAlignment="1">
      <alignment horizontal="right" vertical="center" wrapText="1"/>
    </xf>
    <xf numFmtId="166" fontId="34" fillId="10" borderId="13" xfId="0" applyNumberFormat="1" applyFont="1" applyFill="1" applyBorder="1" applyAlignment="1">
      <alignment horizontal="right" vertical="center" wrapText="1"/>
    </xf>
    <xf numFmtId="164" fontId="58" fillId="0" borderId="13" xfId="0" applyNumberFormat="1" applyFont="1" applyBorder="1" applyAlignment="1">
      <alignment horizontal="right" vertical="center" wrapText="1"/>
    </xf>
    <xf numFmtId="165" fontId="59" fillId="13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6" fontId="34" fillId="18" borderId="36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36" fillId="18" borderId="13" xfId="0" applyFont="1" applyFill="1" applyBorder="1" applyAlignment="1">
      <alignment horizontal="center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23" fillId="18" borderId="1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36" fillId="2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25" fillId="13" borderId="13" xfId="0" applyFont="1" applyFill="1" applyBorder="1" applyAlignment="1">
      <alignment horizontal="center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" borderId="13" xfId="0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0" fontId="29" fillId="13" borderId="13" xfId="0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2" fillId="20" borderId="13" xfId="0" applyFont="1" applyFill="1" applyBorder="1" applyAlignment="1">
      <alignment horizontal="center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0" fontId="8" fillId="10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168" fontId="1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right" vertical="center" wrapText="1"/>
    </xf>
    <xf numFmtId="164" fontId="4" fillId="18" borderId="15" xfId="0" applyNumberFormat="1" applyFont="1" applyFill="1" applyBorder="1" applyAlignment="1">
      <alignment horizontal="right" vertical="center" wrapText="1"/>
    </xf>
    <xf numFmtId="164" fontId="4" fillId="18" borderId="16" xfId="0" applyNumberFormat="1" applyFont="1" applyFill="1" applyBorder="1" applyAlignment="1">
      <alignment horizontal="right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right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56" fillId="31" borderId="13" xfId="0" applyFont="1" applyFill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35" fillId="18" borderId="27" xfId="0" applyFont="1" applyFill="1" applyBorder="1" applyAlignment="1">
      <alignment horizontal="center" vertical="center" wrapText="1"/>
    </xf>
    <xf numFmtId="168" fontId="4" fillId="30" borderId="14" xfId="0" applyNumberFormat="1" applyFont="1" applyFill="1" applyBorder="1" applyAlignment="1">
      <alignment horizontal="righ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0C0C0"/>
      <color rgb="FFFFFF99"/>
      <color rgb="FF99FF99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7"/>
  <sheetViews>
    <sheetView tabSelected="1" view="pageLayout" topLeftCell="A706" zoomScale="110" zoomScaleNormal="118" zoomScaleSheetLayoutView="118" zoomScalePageLayoutView="110" workbookViewId="0">
      <selection activeCell="Q195" sqref="Q195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493" t="s">
        <v>0</v>
      </c>
      <c r="B1" s="493" t="s">
        <v>1</v>
      </c>
      <c r="C1" s="494" t="s">
        <v>2</v>
      </c>
      <c r="D1" s="494"/>
      <c r="E1" s="495" t="s">
        <v>3</v>
      </c>
      <c r="F1" s="496" t="s">
        <v>67</v>
      </c>
      <c r="G1" s="494" t="s">
        <v>4</v>
      </c>
      <c r="H1" s="497"/>
      <c r="I1" s="504" t="s">
        <v>228</v>
      </c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3" t="s">
        <v>164</v>
      </c>
    </row>
    <row r="2" spans="1:25" ht="3.75" customHeight="1">
      <c r="A2" s="493"/>
      <c r="B2" s="493"/>
      <c r="C2" s="494"/>
      <c r="D2" s="494"/>
      <c r="E2" s="495"/>
      <c r="F2" s="496"/>
      <c r="G2" s="494"/>
      <c r="H2" s="497"/>
      <c r="I2" s="504"/>
      <c r="J2" s="504"/>
      <c r="K2" s="504"/>
      <c r="L2" s="504"/>
      <c r="M2" s="504"/>
      <c r="N2" s="504"/>
      <c r="O2" s="504"/>
      <c r="P2" s="504"/>
      <c r="Q2" s="504"/>
      <c r="R2" s="504"/>
      <c r="S2" s="504"/>
      <c r="T2" s="504"/>
      <c r="U2" s="504"/>
      <c r="V2" s="504"/>
      <c r="W2" s="504"/>
      <c r="X2" s="503"/>
    </row>
    <row r="3" spans="1:25" ht="19.5" customHeight="1">
      <c r="A3" s="493"/>
      <c r="B3" s="493"/>
      <c r="C3" s="73" t="s">
        <v>5</v>
      </c>
      <c r="D3" s="73" t="s">
        <v>6</v>
      </c>
      <c r="E3" s="495"/>
      <c r="F3" s="496"/>
      <c r="G3" s="73" t="s">
        <v>7</v>
      </c>
      <c r="H3" s="304" t="s">
        <v>8</v>
      </c>
      <c r="I3" s="306" t="s">
        <v>69</v>
      </c>
      <c r="J3" s="307">
        <v>2019</v>
      </c>
      <c r="K3" s="307">
        <v>2020</v>
      </c>
      <c r="L3" s="307">
        <v>2022</v>
      </c>
      <c r="M3" s="307">
        <v>2024</v>
      </c>
      <c r="N3" s="307">
        <v>2025</v>
      </c>
      <c r="O3" s="307">
        <v>2026</v>
      </c>
      <c r="P3" s="307">
        <v>2027</v>
      </c>
      <c r="Q3" s="307">
        <v>2028</v>
      </c>
      <c r="R3" s="307">
        <v>2029</v>
      </c>
      <c r="S3" s="307">
        <v>2030</v>
      </c>
      <c r="T3" s="307">
        <v>2031</v>
      </c>
      <c r="U3" s="307">
        <v>2032</v>
      </c>
      <c r="V3" s="308">
        <v>2033</v>
      </c>
      <c r="W3" s="308">
        <v>2034</v>
      </c>
      <c r="X3" s="503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5">
        <v>9</v>
      </c>
      <c r="J4" s="305">
        <v>9</v>
      </c>
      <c r="K4" s="305">
        <v>10</v>
      </c>
      <c r="L4" s="305">
        <v>11</v>
      </c>
      <c r="M4" s="305">
        <v>10</v>
      </c>
      <c r="N4" s="305">
        <v>11</v>
      </c>
      <c r="O4" s="305">
        <v>12</v>
      </c>
      <c r="P4" s="305">
        <v>13</v>
      </c>
      <c r="Q4" s="305">
        <v>14</v>
      </c>
      <c r="R4" s="305">
        <v>15</v>
      </c>
      <c r="S4" s="305">
        <v>16</v>
      </c>
      <c r="T4" s="305">
        <v>17</v>
      </c>
      <c r="U4" s="305">
        <v>18</v>
      </c>
      <c r="V4" s="305">
        <v>19</v>
      </c>
      <c r="W4" s="305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86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#REF!+J65+J77+J93+#REF!+J98+J104+J110+#REF!+J178+#REF!+J786-J103</f>
        <v>#REF!</v>
      </c>
      <c r="K8" s="30" t="e">
        <f>#REF!+K65+K77+K93+#REF!+K98+K104+K110+#REF!+K178+#REF!+K786-K103</f>
        <v>#REF!</v>
      </c>
      <c r="L8" s="30" t="e">
        <f>#REF!+L65+L77+L93+#REF!+L98+L104+L110+#REF!+L178+#REF!+L786-L103</f>
        <v>#REF!</v>
      </c>
      <c r="M8" s="30" t="e">
        <f>#REF!+M65+M77+M93+#REF!+M98+M104+M110+#REF!+M178+#REF!+M786-M103</f>
        <v>#REF!</v>
      </c>
      <c r="N8" s="30" t="e">
        <f>#REF!+N65+N77+N93+#REF!+N98+N104+N110+#REF!+N178+#REF!+N786-N103</f>
        <v>#REF!</v>
      </c>
      <c r="O8" s="30" t="e">
        <f>#REF!+O65+O77+O93+#REF!+O98+O104+O110+#REF!+O178+#REF!+O786-O103</f>
        <v>#REF!</v>
      </c>
      <c r="P8" s="30" t="e">
        <f>#REF!+P65+P77+P93+#REF!+P98+P104+P110+#REF!+P178+#REF!+P786-P103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87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83</v>
      </c>
      <c r="C10" s="5"/>
      <c r="D10" s="5"/>
      <c r="E10" s="6"/>
      <c r="F10" s="2"/>
      <c r="G10" s="2"/>
      <c r="H10" s="2"/>
      <c r="I10" s="2"/>
      <c r="J10" s="25">
        <f t="shared" ref="J10:O10" si="2">J183+J188+J245+J260+J265+J280+J300+J310++J320+J370+J410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2840074</v>
      </c>
      <c r="O10" s="25">
        <f t="shared" si="2"/>
        <v>4132597</v>
      </c>
      <c r="P10" s="25">
        <f>P183+P188+P245+P260+P265+P280+P300+P310++Q320+P370+P410</f>
        <v>1945000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88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84</v>
      </c>
      <c r="C12" s="5"/>
      <c r="D12" s="5"/>
      <c r="E12" s="6"/>
      <c r="F12" s="2"/>
      <c r="G12" s="2"/>
      <c r="H12" s="2"/>
      <c r="I12" s="2"/>
      <c r="J12" s="24">
        <f t="shared" ref="J12:P12" si="4">J199+J204+J230+J305+J605+J660+J665+J360+J405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1259000</v>
      </c>
      <c r="O12" s="24">
        <f t="shared" si="4"/>
        <v>2605000</v>
      </c>
      <c r="P12" s="24">
        <f t="shared" si="4"/>
        <v>2390000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89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J193+J250+J270+J275+J290+J295+J315+J325+J330+J335+J340+J345+J350+J355+J360+J365+J375+J405+J415+J590+J751+J756+J761+J776+J781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2046431</v>
      </c>
      <c r="O14" s="8">
        <f t="shared" si="6"/>
        <v>635000</v>
      </c>
      <c r="P14" s="8">
        <f t="shared" si="6"/>
        <v>3971000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90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82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85</v>
      </c>
      <c r="C17" s="28"/>
      <c r="D17" s="28"/>
      <c r="E17" s="28"/>
      <c r="F17" s="54"/>
      <c r="G17" s="28"/>
      <c r="H17" s="28"/>
      <c r="I17" s="26"/>
      <c r="J17" s="26" t="e">
        <f>#REF!+J400+J420+#REF!+#REF!+#REF!+J766+J771+J103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05" t="s">
        <v>18</v>
      </c>
      <c r="C18" s="505"/>
      <c r="D18" s="505"/>
      <c r="E18" s="505"/>
      <c r="F18" s="282">
        <f>F19+F20</f>
        <v>170563529.72</v>
      </c>
      <c r="G18" s="80" t="s">
        <v>11</v>
      </c>
      <c r="H18" s="80" t="s">
        <v>11</v>
      </c>
      <c r="I18" s="80" t="s">
        <v>11</v>
      </c>
      <c r="J18" s="79" t="e">
        <f>J21+J121+J136</f>
        <v>#REF!</v>
      </c>
      <c r="K18" s="81" t="e">
        <f t="shared" ref="K18:X18" si="8">K19+K20</f>
        <v>#REF!</v>
      </c>
      <c r="L18" s="79">
        <f t="shared" si="8"/>
        <v>0</v>
      </c>
      <c r="M18" s="313">
        <f t="shared" si="8"/>
        <v>0</v>
      </c>
      <c r="N18" s="343">
        <f t="shared" si="8"/>
        <v>35524403.359999999</v>
      </c>
      <c r="O18" s="79">
        <f t="shared" si="8"/>
        <v>12731868</v>
      </c>
      <c r="P18" s="79">
        <f t="shared" si="8"/>
        <v>14570832</v>
      </c>
      <c r="Q18" s="13">
        <f t="shared" si="8"/>
        <v>12334460</v>
      </c>
      <c r="R18" s="13">
        <f t="shared" si="8"/>
        <v>12689998</v>
      </c>
      <c r="S18" s="13">
        <f t="shared" si="8"/>
        <v>9774186</v>
      </c>
      <c r="T18" s="13">
        <f t="shared" si="8"/>
        <v>8189638</v>
      </c>
      <c r="U18" s="13">
        <f t="shared" si="8"/>
        <v>6035089</v>
      </c>
      <c r="V18" s="13">
        <f t="shared" si="8"/>
        <v>3940541</v>
      </c>
      <c r="W18" s="13">
        <f t="shared" si="8"/>
        <v>224789</v>
      </c>
      <c r="X18" s="75">
        <f t="shared" si="8"/>
        <v>116015804.36</v>
      </c>
    </row>
    <row r="19" spans="1:198" ht="13.5" customHeight="1">
      <c r="A19" s="10" t="s">
        <v>19</v>
      </c>
      <c r="B19" s="506" t="s">
        <v>20</v>
      </c>
      <c r="C19" s="506"/>
      <c r="D19" s="506"/>
      <c r="E19" s="506"/>
      <c r="F19" s="286">
        <f>F22+F137+F122</f>
        <v>6007891</v>
      </c>
      <c r="G19" s="82"/>
      <c r="H19" s="82"/>
      <c r="I19" s="82"/>
      <c r="J19" s="43" t="e">
        <f>J22+J137</f>
        <v>#REF!</v>
      </c>
      <c r="K19" s="76" t="e">
        <f t="shared" ref="K19:X19" si="9">K22+K137+K122</f>
        <v>#REF!</v>
      </c>
      <c r="L19" s="43">
        <f t="shared" si="9"/>
        <v>0</v>
      </c>
      <c r="M19" s="312">
        <f t="shared" si="9"/>
        <v>0</v>
      </c>
      <c r="N19" s="341">
        <f t="shared" si="9"/>
        <v>868357.36</v>
      </c>
      <c r="O19" s="43">
        <f t="shared" si="9"/>
        <v>762539</v>
      </c>
      <c r="P19" s="43">
        <f t="shared" si="9"/>
        <v>668230</v>
      </c>
      <c r="Q19" s="43">
        <f t="shared" si="9"/>
        <v>588682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4290739.3600000003</v>
      </c>
    </row>
    <row r="20" spans="1:198" ht="13.5" customHeight="1">
      <c r="A20" s="10" t="s">
        <v>21</v>
      </c>
      <c r="B20" s="506" t="s">
        <v>22</v>
      </c>
      <c r="C20" s="506"/>
      <c r="D20" s="506"/>
      <c r="E20" s="506"/>
      <c r="F20" s="283">
        <f>F59+F129+F168</f>
        <v>164555638.72</v>
      </c>
      <c r="G20" s="82" t="s">
        <v>11</v>
      </c>
      <c r="H20" s="82" t="s">
        <v>11</v>
      </c>
      <c r="I20" s="82" t="s">
        <v>11</v>
      </c>
      <c r="J20" s="43" t="e">
        <f>J59+J168</f>
        <v>#REF!</v>
      </c>
      <c r="K20" s="76" t="e">
        <f t="shared" ref="K20:W20" si="10">K59+K168+K129</f>
        <v>#REF!</v>
      </c>
      <c r="L20" s="43">
        <f t="shared" si="10"/>
        <v>0</v>
      </c>
      <c r="M20" s="312">
        <f t="shared" si="10"/>
        <v>0</v>
      </c>
      <c r="N20" s="342">
        <f t="shared" si="10"/>
        <v>34656046</v>
      </c>
      <c r="O20" s="43">
        <f t="shared" si="10"/>
        <v>11969329</v>
      </c>
      <c r="P20" s="43">
        <f t="shared" si="10"/>
        <v>13902602</v>
      </c>
      <c r="Q20" s="43">
        <f t="shared" si="10"/>
        <v>11745778</v>
      </c>
      <c r="R20" s="43">
        <f t="shared" si="10"/>
        <v>12251600</v>
      </c>
      <c r="S20" s="43">
        <f t="shared" si="10"/>
        <v>9415337</v>
      </c>
      <c r="T20" s="43">
        <f t="shared" si="10"/>
        <v>7910337</v>
      </c>
      <c r="U20" s="43">
        <f t="shared" si="10"/>
        <v>5835337</v>
      </c>
      <c r="V20" s="43">
        <f t="shared" si="10"/>
        <v>3820337</v>
      </c>
      <c r="W20" s="43">
        <f t="shared" si="10"/>
        <v>218362</v>
      </c>
      <c r="X20" s="83">
        <f>X59+X129+X168</f>
        <v>111725065</v>
      </c>
    </row>
    <row r="21" spans="1:198" ht="39.75" customHeight="1">
      <c r="A21" s="11" t="s">
        <v>23</v>
      </c>
      <c r="B21" s="507" t="s">
        <v>24</v>
      </c>
      <c r="C21" s="507"/>
      <c r="D21" s="507"/>
      <c r="E21" s="507"/>
      <c r="F21" s="282">
        <f>F22+F59</f>
        <v>5543315</v>
      </c>
      <c r="G21" s="12" t="s">
        <v>11</v>
      </c>
      <c r="H21" s="12" t="s">
        <v>11</v>
      </c>
      <c r="I21" s="12" t="s">
        <v>11</v>
      </c>
      <c r="J21" s="13" t="e">
        <f t="shared" ref="J21:X21" si="11">J22+J59</f>
        <v>#REF!</v>
      </c>
      <c r="K21" s="13" t="e">
        <f t="shared" si="11"/>
        <v>#REF!</v>
      </c>
      <c r="L21" s="13">
        <f t="shared" si="11"/>
        <v>0</v>
      </c>
      <c r="M21" s="299">
        <f t="shared" si="11"/>
        <v>0</v>
      </c>
      <c r="N21" s="13">
        <f t="shared" si="11"/>
        <v>2023463</v>
      </c>
      <c r="O21" s="13">
        <f t="shared" si="11"/>
        <v>2070435</v>
      </c>
      <c r="P21" s="13">
        <f t="shared" si="11"/>
        <v>1317209</v>
      </c>
      <c r="Q21" s="13">
        <f t="shared" si="11"/>
        <v>70735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5481842</v>
      </c>
    </row>
    <row r="22" spans="1:198" ht="13.5" customHeight="1">
      <c r="A22" s="56" t="s">
        <v>25</v>
      </c>
      <c r="B22" s="484" t="s">
        <v>20</v>
      </c>
      <c r="C22" s="484"/>
      <c r="D22" s="484"/>
      <c r="E22" s="484"/>
      <c r="F22" s="284">
        <f>F23+F30</f>
        <v>338430</v>
      </c>
      <c r="G22" s="56"/>
      <c r="H22" s="56"/>
      <c r="I22" s="56"/>
      <c r="J22" s="57">
        <f>J29+J37+J42+J47</f>
        <v>757473</v>
      </c>
      <c r="K22" s="57">
        <f>K42+K47</f>
        <v>124300</v>
      </c>
      <c r="L22" s="57">
        <f t="shared" ref="L22:M22" si="12">L29+L42+L47+L58</f>
        <v>0</v>
      </c>
      <c r="M22" s="281">
        <f t="shared" si="12"/>
        <v>0</v>
      </c>
      <c r="N22" s="57">
        <f>N29+N37</f>
        <v>99225</v>
      </c>
      <c r="O22" s="57">
        <f t="shared" ref="O22:W22" si="13">O29+O37</f>
        <v>82735</v>
      </c>
      <c r="P22" s="57">
        <f t="shared" si="13"/>
        <v>70735</v>
      </c>
      <c r="Q22" s="57">
        <f t="shared" si="13"/>
        <v>70735</v>
      </c>
      <c r="R22" s="57">
        <f t="shared" si="13"/>
        <v>0</v>
      </c>
      <c r="S22" s="57">
        <f t="shared" si="13"/>
        <v>0</v>
      </c>
      <c r="T22" s="57">
        <f t="shared" si="13"/>
        <v>0</v>
      </c>
      <c r="U22" s="57">
        <f t="shared" si="13"/>
        <v>0</v>
      </c>
      <c r="V22" s="57">
        <f t="shared" si="13"/>
        <v>0</v>
      </c>
      <c r="W22" s="57">
        <f t="shared" si="13"/>
        <v>0</v>
      </c>
      <c r="X22" s="281">
        <f>X23+X30</f>
        <v>323430</v>
      </c>
    </row>
    <row r="23" spans="1:198" ht="15.75" customHeight="1">
      <c r="A23" s="351">
        <v>1</v>
      </c>
      <c r="B23" s="474" t="s">
        <v>248</v>
      </c>
      <c r="C23" s="355">
        <v>2024</v>
      </c>
      <c r="D23" s="355">
        <v>2026</v>
      </c>
      <c r="E23" s="480" t="s">
        <v>258</v>
      </c>
      <c r="F23" s="510">
        <f>X23+15000</f>
        <v>80000</v>
      </c>
      <c r="G23" s="498" t="s">
        <v>250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65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51"/>
      <c r="B24" s="474"/>
      <c r="C24" s="355"/>
      <c r="D24" s="355"/>
      <c r="E24" s="480"/>
      <c r="F24" s="510"/>
      <c r="G24" s="498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65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2.75" customHeight="1">
      <c r="A25" s="351"/>
      <c r="B25" s="474"/>
      <c r="C25" s="355"/>
      <c r="D25" s="355"/>
      <c r="E25" s="480"/>
      <c r="F25" s="510"/>
      <c r="G25" s="498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65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51"/>
      <c r="B26" s="474"/>
      <c r="C26" s="355"/>
      <c r="D26" s="355"/>
      <c r="E26" s="480"/>
      <c r="F26" s="510"/>
      <c r="G26" s="498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65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51"/>
      <c r="B27" s="474"/>
      <c r="C27" s="355"/>
      <c r="D27" s="355"/>
      <c r="E27" s="480"/>
      <c r="F27" s="510"/>
      <c r="G27" s="498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65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51"/>
      <c r="B28" s="474"/>
      <c r="C28" s="355"/>
      <c r="D28" s="355"/>
      <c r="E28" s="480"/>
      <c r="F28" s="510"/>
      <c r="G28" s="498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65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51"/>
      <c r="B29" s="474"/>
      <c r="C29" s="355"/>
      <c r="D29" s="355"/>
      <c r="E29" s="480"/>
      <c r="F29" s="510"/>
      <c r="G29" s="498"/>
      <c r="H29" s="90"/>
      <c r="I29" s="64" t="s">
        <v>26</v>
      </c>
      <c r="J29" s="65">
        <f t="shared" ref="J29:O29" si="14">SUM(J23:J28)</f>
        <v>73804</v>
      </c>
      <c r="K29" s="65">
        <f t="shared" si="14"/>
        <v>124300</v>
      </c>
      <c r="L29" s="65">
        <f t="shared" si="14"/>
        <v>0</v>
      </c>
      <c r="M29" s="228">
        <f t="shared" si="14"/>
        <v>0</v>
      </c>
      <c r="N29" s="65">
        <f t="shared" si="14"/>
        <v>53000</v>
      </c>
      <c r="O29" s="66">
        <f t="shared" si="14"/>
        <v>12000</v>
      </c>
      <c r="P29" s="66"/>
      <c r="Q29" s="66"/>
      <c r="R29" s="66"/>
      <c r="S29" s="66"/>
      <c r="T29" s="66"/>
      <c r="U29" s="66"/>
      <c r="V29" s="66"/>
      <c r="W29" s="66"/>
      <c r="X29" s="465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customHeight="1">
      <c r="A30" s="351">
        <v>2</v>
      </c>
      <c r="B30" s="377" t="s">
        <v>262</v>
      </c>
      <c r="C30" s="397">
        <v>2025</v>
      </c>
      <c r="D30" s="397">
        <v>2028</v>
      </c>
      <c r="E30" s="508" t="s">
        <v>261</v>
      </c>
      <c r="F30" s="500">
        <f>X30</f>
        <v>258430</v>
      </c>
      <c r="G30" s="439">
        <v>85295</v>
      </c>
      <c r="H30" s="86"/>
      <c r="I30" s="61" t="s">
        <v>31</v>
      </c>
      <c r="J30" s="106">
        <v>53876</v>
      </c>
      <c r="K30" s="106"/>
      <c r="L30" s="106"/>
      <c r="M30" s="279"/>
      <c r="N30" s="348">
        <v>4865.79</v>
      </c>
      <c r="O30" s="348">
        <v>7445.79</v>
      </c>
      <c r="P30" s="348">
        <v>7445.79</v>
      </c>
      <c r="Q30" s="348">
        <v>7445.79</v>
      </c>
      <c r="R30" s="107"/>
      <c r="S30" s="107"/>
      <c r="T30" s="107"/>
      <c r="U30" s="107"/>
      <c r="V30" s="107"/>
      <c r="W30" s="107"/>
      <c r="X30" s="465">
        <f>SUM(L37:Q37)</f>
        <v>258430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customHeight="1">
      <c r="A31" s="351"/>
      <c r="B31" s="380"/>
      <c r="C31" s="397"/>
      <c r="D31" s="397"/>
      <c r="E31" s="508"/>
      <c r="F31" s="500"/>
      <c r="G31" s="439"/>
      <c r="H31" s="86"/>
      <c r="I31" s="61" t="s">
        <v>30</v>
      </c>
      <c r="J31" s="106"/>
      <c r="K31" s="107"/>
      <c r="L31" s="107"/>
      <c r="M31" s="279"/>
      <c r="N31" s="348">
        <v>41359.21</v>
      </c>
      <c r="O31" s="348">
        <v>63289.21</v>
      </c>
      <c r="P31" s="348">
        <v>63289.21</v>
      </c>
      <c r="Q31" s="348">
        <v>63289.21</v>
      </c>
      <c r="R31" s="107"/>
      <c r="S31" s="107"/>
      <c r="T31" s="107"/>
      <c r="U31" s="107"/>
      <c r="V31" s="107"/>
      <c r="W31" s="107"/>
      <c r="X31" s="465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customHeight="1">
      <c r="A32" s="351"/>
      <c r="B32" s="380"/>
      <c r="C32" s="397"/>
      <c r="D32" s="397"/>
      <c r="E32" s="508"/>
      <c r="F32" s="500"/>
      <c r="G32" s="439"/>
      <c r="H32" s="86"/>
      <c r="I32" s="58"/>
      <c r="J32" s="107"/>
      <c r="K32" s="107"/>
      <c r="L32" s="107"/>
      <c r="M32" s="279"/>
      <c r="N32" s="347"/>
      <c r="O32" s="107"/>
      <c r="P32" s="107"/>
      <c r="Q32" s="107"/>
      <c r="R32" s="107"/>
      <c r="S32" s="107"/>
      <c r="T32" s="107"/>
      <c r="U32" s="107"/>
      <c r="V32" s="107"/>
      <c r="W32" s="107"/>
      <c r="X32" s="465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51"/>
      <c r="B33" s="380"/>
      <c r="C33" s="397"/>
      <c r="D33" s="397"/>
      <c r="E33" s="508"/>
      <c r="F33" s="500"/>
      <c r="G33" s="439"/>
      <c r="H33" s="86"/>
      <c r="I33" s="58"/>
      <c r="J33" s="107"/>
      <c r="K33" s="107"/>
      <c r="L33" s="107"/>
      <c r="M33" s="279"/>
      <c r="N33" s="347"/>
      <c r="O33" s="107"/>
      <c r="P33" s="107"/>
      <c r="Q33" s="107"/>
      <c r="R33" s="107"/>
      <c r="S33" s="107"/>
      <c r="T33" s="107"/>
      <c r="U33" s="107"/>
      <c r="V33" s="107"/>
      <c r="W33" s="107"/>
      <c r="X33" s="465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14.25" hidden="1" customHeight="1">
      <c r="A34" s="351"/>
      <c r="B34" s="380"/>
      <c r="C34" s="397"/>
      <c r="D34" s="397"/>
      <c r="E34" s="508"/>
      <c r="F34" s="500"/>
      <c r="G34" s="439"/>
      <c r="H34" s="86"/>
      <c r="I34" s="58"/>
      <c r="J34" s="107"/>
      <c r="K34" s="107"/>
      <c r="L34" s="107"/>
      <c r="M34" s="279"/>
      <c r="N34" s="347"/>
      <c r="O34" s="107"/>
      <c r="P34" s="107"/>
      <c r="Q34" s="107"/>
      <c r="R34" s="107"/>
      <c r="S34" s="107"/>
      <c r="T34" s="107"/>
      <c r="U34" s="107"/>
      <c r="V34" s="107"/>
      <c r="W34" s="107"/>
      <c r="X34" s="465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4.25" hidden="1" customHeight="1">
      <c r="A35" s="351"/>
      <c r="B35" s="380"/>
      <c r="C35" s="397"/>
      <c r="D35" s="397"/>
      <c r="E35" s="508"/>
      <c r="F35" s="500"/>
      <c r="G35" s="439"/>
      <c r="H35" s="86"/>
      <c r="I35" s="58"/>
      <c r="J35" s="107"/>
      <c r="K35" s="107"/>
      <c r="L35" s="107"/>
      <c r="M35" s="279"/>
      <c r="N35" s="347"/>
      <c r="O35" s="107"/>
      <c r="P35" s="107"/>
      <c r="Q35" s="107"/>
      <c r="R35" s="107"/>
      <c r="S35" s="107"/>
      <c r="T35" s="107"/>
      <c r="U35" s="107"/>
      <c r="V35" s="107"/>
      <c r="W35" s="107"/>
      <c r="X35" s="465"/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4.25" hidden="1" customHeight="1">
      <c r="A36" s="351"/>
      <c r="B36" s="380"/>
      <c r="C36" s="397"/>
      <c r="D36" s="397"/>
      <c r="E36" s="508"/>
      <c r="F36" s="500"/>
      <c r="G36" s="439"/>
      <c r="H36" s="86"/>
      <c r="I36" s="58"/>
      <c r="J36" s="107"/>
      <c r="K36" s="107"/>
      <c r="L36" s="107"/>
      <c r="M36" s="279"/>
      <c r="N36" s="347"/>
      <c r="O36" s="107"/>
      <c r="P36" s="107"/>
      <c r="Q36" s="107"/>
      <c r="R36" s="107"/>
      <c r="S36" s="107"/>
      <c r="T36" s="107"/>
      <c r="U36" s="107"/>
      <c r="V36" s="107"/>
      <c r="W36" s="107"/>
      <c r="X36" s="465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.75" customHeight="1">
      <c r="A37" s="351"/>
      <c r="B37" s="380"/>
      <c r="C37" s="397"/>
      <c r="D37" s="397"/>
      <c r="E37" s="508"/>
      <c r="F37" s="500"/>
      <c r="G37" s="439"/>
      <c r="H37" s="86"/>
      <c r="I37" s="59" t="s">
        <v>26</v>
      </c>
      <c r="J37" s="109">
        <f t="shared" ref="J37:W37" si="15">J30+J31+J32+J33</f>
        <v>53876</v>
      </c>
      <c r="K37" s="109">
        <f t="shared" si="15"/>
        <v>0</v>
      </c>
      <c r="L37" s="109">
        <f t="shared" si="15"/>
        <v>0</v>
      </c>
      <c r="M37" s="130">
        <f t="shared" si="15"/>
        <v>0</v>
      </c>
      <c r="N37" s="260">
        <f t="shared" si="15"/>
        <v>46225</v>
      </c>
      <c r="O37" s="260">
        <f t="shared" si="15"/>
        <v>70735</v>
      </c>
      <c r="P37" s="260">
        <f t="shared" si="15"/>
        <v>70735</v>
      </c>
      <c r="Q37" s="260">
        <f t="shared" si="15"/>
        <v>70735</v>
      </c>
      <c r="R37" s="260">
        <f t="shared" si="15"/>
        <v>0</v>
      </c>
      <c r="S37" s="260">
        <f t="shared" si="15"/>
        <v>0</v>
      </c>
      <c r="T37" s="260">
        <f t="shared" si="15"/>
        <v>0</v>
      </c>
      <c r="U37" s="260">
        <f t="shared" si="15"/>
        <v>0</v>
      </c>
      <c r="V37" s="260">
        <f t="shared" si="15"/>
        <v>0</v>
      </c>
      <c r="W37" s="260">
        <f t="shared" si="15"/>
        <v>0</v>
      </c>
      <c r="X37" s="465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02">
        <v>1</v>
      </c>
      <c r="B38" s="380" t="s">
        <v>200</v>
      </c>
      <c r="C38" s="397">
        <v>2021</v>
      </c>
      <c r="D38" s="397">
        <v>2023</v>
      </c>
      <c r="E38" s="508" t="s">
        <v>27</v>
      </c>
      <c r="F38" s="500"/>
      <c r="G38" s="439">
        <v>85395</v>
      </c>
      <c r="H38" s="90"/>
      <c r="I38" s="61" t="s">
        <v>28</v>
      </c>
      <c r="J38" s="249">
        <v>497463</v>
      </c>
      <c r="K38" s="249"/>
      <c r="L38" s="250"/>
      <c r="M38" s="28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501">
        <f>SUM(L42:P42)</f>
        <v>0</v>
      </c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5" hidden="1" customHeight="1">
      <c r="A39" s="502"/>
      <c r="B39" s="380"/>
      <c r="C39" s="397"/>
      <c r="D39" s="397"/>
      <c r="E39" s="508"/>
      <c r="F39" s="500"/>
      <c r="G39" s="439"/>
      <c r="H39" s="90"/>
      <c r="I39" s="61" t="s">
        <v>28</v>
      </c>
      <c r="J39" s="249">
        <v>58526</v>
      </c>
      <c r="K39" s="249"/>
      <c r="L39" s="87"/>
      <c r="M39" s="173"/>
      <c r="N39" s="87"/>
      <c r="O39" s="87">
        <v>0</v>
      </c>
      <c r="P39" s="250"/>
      <c r="Q39" s="250"/>
      <c r="R39" s="250"/>
      <c r="S39" s="250"/>
      <c r="T39" s="250"/>
      <c r="U39" s="250"/>
      <c r="V39" s="250"/>
      <c r="W39" s="250"/>
      <c r="X39" s="501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5" hidden="1" customHeight="1">
      <c r="A40" s="502"/>
      <c r="B40" s="380"/>
      <c r="C40" s="397"/>
      <c r="D40" s="397"/>
      <c r="E40" s="508"/>
      <c r="F40" s="500"/>
      <c r="G40" s="439"/>
      <c r="H40" s="90"/>
      <c r="I40" s="61" t="s">
        <v>30</v>
      </c>
      <c r="J40" s="249"/>
      <c r="K40" s="249"/>
      <c r="L40" s="87"/>
      <c r="M40" s="173"/>
      <c r="N40" s="87"/>
      <c r="O40" s="250"/>
      <c r="P40" s="250"/>
      <c r="Q40" s="250"/>
      <c r="R40" s="250"/>
      <c r="S40" s="250"/>
      <c r="T40" s="250"/>
      <c r="U40" s="250"/>
      <c r="V40" s="250"/>
      <c r="W40" s="250"/>
      <c r="X40" s="501"/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t="15" hidden="1" customHeight="1">
      <c r="A41" s="502"/>
      <c r="B41" s="380"/>
      <c r="C41" s="397"/>
      <c r="D41" s="397"/>
      <c r="E41" s="508"/>
      <c r="F41" s="500"/>
      <c r="G41" s="439"/>
      <c r="H41" s="90"/>
      <c r="I41" s="61" t="s">
        <v>33</v>
      </c>
      <c r="J41" s="249"/>
      <c r="K41" s="249"/>
      <c r="L41" s="251"/>
      <c r="M41" s="251"/>
      <c r="N41" s="251"/>
      <c r="O41" s="250"/>
      <c r="P41" s="250"/>
      <c r="Q41" s="250"/>
      <c r="R41" s="250"/>
      <c r="S41" s="250"/>
      <c r="T41" s="250"/>
      <c r="U41" s="250"/>
      <c r="V41" s="250"/>
      <c r="W41" s="250"/>
      <c r="X41" s="501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t="14.25" hidden="1" customHeight="1">
      <c r="A42" s="502"/>
      <c r="B42" s="380"/>
      <c r="C42" s="397"/>
      <c r="D42" s="397"/>
      <c r="E42" s="508"/>
      <c r="F42" s="500"/>
      <c r="G42" s="439"/>
      <c r="H42" s="250"/>
      <c r="I42" s="59" t="s">
        <v>26</v>
      </c>
      <c r="J42" s="252">
        <f t="shared" ref="J42:O42" si="16">SUM(J38:J41)</f>
        <v>555989</v>
      </c>
      <c r="K42" s="252">
        <f t="shared" si="16"/>
        <v>0</v>
      </c>
      <c r="L42" s="253">
        <f t="shared" si="16"/>
        <v>0</v>
      </c>
      <c r="M42" s="285">
        <f t="shared" si="16"/>
        <v>0</v>
      </c>
      <c r="N42" s="253">
        <f t="shared" si="16"/>
        <v>0</v>
      </c>
      <c r="O42" s="254">
        <f t="shared" si="16"/>
        <v>0</v>
      </c>
      <c r="P42" s="254"/>
      <c r="Q42" s="254"/>
      <c r="R42" s="254"/>
      <c r="S42" s="254"/>
      <c r="T42" s="254"/>
      <c r="U42" s="254"/>
      <c r="V42" s="254"/>
      <c r="W42" s="254"/>
      <c r="X42" s="501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t="16.5" hidden="1" customHeight="1">
      <c r="A43" s="351">
        <v>3</v>
      </c>
      <c r="B43" s="380" t="s">
        <v>201</v>
      </c>
      <c r="C43" s="397">
        <v>2021</v>
      </c>
      <c r="D43" s="397">
        <v>2022</v>
      </c>
      <c r="E43" s="508" t="s">
        <v>27</v>
      </c>
      <c r="F43" s="389">
        <f>X43</f>
        <v>0</v>
      </c>
      <c r="G43" s="498" t="s">
        <v>114</v>
      </c>
      <c r="H43" s="90"/>
      <c r="I43" s="61" t="s">
        <v>28</v>
      </c>
      <c r="J43" s="87"/>
      <c r="K43" s="87"/>
      <c r="L43" s="87"/>
      <c r="M43" s="87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465">
        <f>SUM(L47:P47)</f>
        <v>0</v>
      </c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idden="1">
      <c r="A44" s="351"/>
      <c r="B44" s="380"/>
      <c r="C44" s="397"/>
      <c r="D44" s="397"/>
      <c r="E44" s="508"/>
      <c r="F44" s="389"/>
      <c r="G44" s="498"/>
      <c r="H44" s="90"/>
      <c r="I44" s="61" t="s">
        <v>28</v>
      </c>
      <c r="J44" s="87">
        <v>11071</v>
      </c>
      <c r="K44" s="87">
        <v>18645</v>
      </c>
      <c r="L44" s="255"/>
      <c r="M44" s="255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465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idden="1">
      <c r="A45" s="351"/>
      <c r="B45" s="380"/>
      <c r="C45" s="397"/>
      <c r="D45" s="397"/>
      <c r="E45" s="508"/>
      <c r="F45" s="389"/>
      <c r="G45" s="498"/>
      <c r="H45" s="90"/>
      <c r="I45" s="61" t="s">
        <v>30</v>
      </c>
      <c r="J45" s="84">
        <v>62733</v>
      </c>
      <c r="K45" s="84">
        <v>105655</v>
      </c>
      <c r="L45" s="255"/>
      <c r="M45" s="255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465"/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idden="1">
      <c r="A46" s="351"/>
      <c r="B46" s="380"/>
      <c r="C46" s="397"/>
      <c r="D46" s="397"/>
      <c r="E46" s="508"/>
      <c r="F46" s="389"/>
      <c r="G46" s="498"/>
      <c r="H46" s="90"/>
      <c r="I46" s="61" t="s">
        <v>33</v>
      </c>
      <c r="J46" s="62"/>
      <c r="K46" s="62"/>
      <c r="L46" s="256"/>
      <c r="M46" s="256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65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4.25" hidden="1" customHeight="1">
      <c r="A47" s="351"/>
      <c r="B47" s="380"/>
      <c r="C47" s="397"/>
      <c r="D47" s="397"/>
      <c r="E47" s="508"/>
      <c r="F47" s="389"/>
      <c r="G47" s="498"/>
      <c r="H47" s="90"/>
      <c r="I47" s="64" t="s">
        <v>26</v>
      </c>
      <c r="J47" s="65">
        <f t="shared" ref="J47:O47" si="17">SUM(J43:J46)</f>
        <v>73804</v>
      </c>
      <c r="K47" s="65">
        <f t="shared" si="17"/>
        <v>124300</v>
      </c>
      <c r="L47" s="257">
        <f t="shared" si="17"/>
        <v>0</v>
      </c>
      <c r="M47" s="257">
        <f t="shared" si="17"/>
        <v>0</v>
      </c>
      <c r="N47" s="65">
        <f t="shared" si="17"/>
        <v>0</v>
      </c>
      <c r="O47" s="65">
        <f t="shared" si="17"/>
        <v>0</v>
      </c>
      <c r="P47" s="65"/>
      <c r="Q47" s="65"/>
      <c r="R47" s="65"/>
      <c r="S47" s="65"/>
      <c r="T47" s="65"/>
      <c r="U47" s="65"/>
      <c r="V47" s="65"/>
      <c r="W47" s="65"/>
      <c r="X47" s="465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18" hidden="1" customHeight="1">
      <c r="A48" s="351">
        <v>4</v>
      </c>
      <c r="B48" s="380" t="s">
        <v>123</v>
      </c>
      <c r="C48" s="428">
        <v>2021</v>
      </c>
      <c r="D48" s="428">
        <v>2024</v>
      </c>
      <c r="E48" s="467" t="s">
        <v>27</v>
      </c>
      <c r="F48" s="413">
        <f>SUM(L52:W52)</f>
        <v>0</v>
      </c>
      <c r="G48" s="509" t="s">
        <v>119</v>
      </c>
      <c r="H48" s="91">
        <v>4305</v>
      </c>
      <c r="I48" s="97" t="s">
        <v>28</v>
      </c>
      <c r="J48" s="94"/>
      <c r="K48" s="94"/>
      <c r="L48" s="94"/>
      <c r="M48" s="94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473">
        <f>SUM(L52:P52)</f>
        <v>0</v>
      </c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8" hidden="1" customHeight="1">
      <c r="A49" s="351"/>
      <c r="B49" s="380"/>
      <c r="C49" s="428"/>
      <c r="D49" s="428"/>
      <c r="E49" s="467"/>
      <c r="F49" s="413"/>
      <c r="G49" s="509"/>
      <c r="H49" s="91"/>
      <c r="I49" s="97" t="s">
        <v>31</v>
      </c>
      <c r="J49" s="94">
        <v>11071</v>
      </c>
      <c r="K49" s="94">
        <v>18645</v>
      </c>
      <c r="L49" s="110"/>
      <c r="M49" s="110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473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8" hidden="1" customHeight="1">
      <c r="A50" s="351"/>
      <c r="B50" s="380"/>
      <c r="C50" s="428"/>
      <c r="D50" s="428"/>
      <c r="E50" s="467"/>
      <c r="F50" s="413"/>
      <c r="G50" s="509"/>
      <c r="H50" s="91"/>
      <c r="I50" s="97" t="s">
        <v>30</v>
      </c>
      <c r="J50" s="100">
        <v>62733</v>
      </c>
      <c r="K50" s="100">
        <v>105655</v>
      </c>
      <c r="L50" s="110"/>
      <c r="M50" s="110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473"/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20.25" hidden="1" customHeight="1">
      <c r="A51" s="351"/>
      <c r="B51" s="380"/>
      <c r="C51" s="428"/>
      <c r="D51" s="428"/>
      <c r="E51" s="467"/>
      <c r="F51" s="413"/>
      <c r="G51" s="509"/>
      <c r="H51" s="91"/>
      <c r="I51" s="97" t="s">
        <v>33</v>
      </c>
      <c r="J51" s="98"/>
      <c r="K51" s="98"/>
      <c r="L51" s="111"/>
      <c r="M51" s="111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473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6.5" hidden="1">
      <c r="A52" s="351"/>
      <c r="B52" s="380"/>
      <c r="C52" s="428"/>
      <c r="D52" s="428"/>
      <c r="E52" s="467"/>
      <c r="F52" s="413"/>
      <c r="G52" s="509"/>
      <c r="H52" s="91"/>
      <c r="I52" s="101" t="s">
        <v>26</v>
      </c>
      <c r="J52" s="102">
        <f t="shared" ref="J52:O52" si="18">SUM(J48:J51)</f>
        <v>73804</v>
      </c>
      <c r="K52" s="102">
        <f t="shared" si="18"/>
        <v>124300</v>
      </c>
      <c r="L52" s="112">
        <f t="shared" si="18"/>
        <v>0</v>
      </c>
      <c r="M52" s="112">
        <f t="shared" si="18"/>
        <v>0</v>
      </c>
      <c r="N52" s="102">
        <f t="shared" si="18"/>
        <v>0</v>
      </c>
      <c r="O52" s="102">
        <f t="shared" si="18"/>
        <v>0</v>
      </c>
      <c r="P52" s="102"/>
      <c r="Q52" s="102"/>
      <c r="R52" s="102"/>
      <c r="S52" s="102"/>
      <c r="T52" s="102"/>
      <c r="U52" s="102"/>
      <c r="V52" s="102"/>
      <c r="W52" s="102"/>
      <c r="X52" s="473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51">
        <v>2</v>
      </c>
      <c r="B53" s="460" t="s">
        <v>202</v>
      </c>
      <c r="C53" s="355">
        <v>2021</v>
      </c>
      <c r="D53" s="355">
        <v>2023</v>
      </c>
      <c r="E53" s="480" t="s">
        <v>122</v>
      </c>
      <c r="F53" s="465"/>
      <c r="G53" s="354">
        <v>85395</v>
      </c>
      <c r="H53" s="88"/>
      <c r="I53" s="210" t="s">
        <v>28</v>
      </c>
      <c r="J53" s="173"/>
      <c r="K53" s="173"/>
      <c r="L53" s="225"/>
      <c r="M53" s="225"/>
      <c r="N53" s="225"/>
      <c r="O53" s="177"/>
      <c r="P53" s="177"/>
      <c r="Q53" s="177"/>
      <c r="R53" s="177"/>
      <c r="S53" s="177"/>
      <c r="T53" s="177"/>
      <c r="U53" s="177"/>
      <c r="V53" s="177"/>
      <c r="W53" s="177"/>
      <c r="X53" s="465">
        <f>SUM(L58:P58)</f>
        <v>0</v>
      </c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51"/>
      <c r="B54" s="460"/>
      <c r="C54" s="355"/>
      <c r="D54" s="355"/>
      <c r="E54" s="480"/>
      <c r="F54" s="465"/>
      <c r="G54" s="354"/>
      <c r="H54" s="86"/>
      <c r="I54" s="67" t="s">
        <v>28</v>
      </c>
      <c r="J54" s="87">
        <v>302484</v>
      </c>
      <c r="K54" s="173">
        <v>140503</v>
      </c>
      <c r="L54" s="173"/>
      <c r="M54" s="225"/>
      <c r="N54" s="225"/>
      <c r="O54" s="177"/>
      <c r="P54" s="177"/>
      <c r="Q54" s="177"/>
      <c r="R54" s="177"/>
      <c r="S54" s="177"/>
      <c r="T54" s="177"/>
      <c r="U54" s="177"/>
      <c r="V54" s="177"/>
      <c r="W54" s="177"/>
      <c r="X54" s="465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51"/>
      <c r="B55" s="460"/>
      <c r="C55" s="355"/>
      <c r="D55" s="355"/>
      <c r="E55" s="480"/>
      <c r="F55" s="465"/>
      <c r="G55" s="354"/>
      <c r="H55" s="86"/>
      <c r="I55" s="58" t="s">
        <v>31</v>
      </c>
      <c r="J55" s="87"/>
      <c r="K55" s="173"/>
      <c r="L55" s="173"/>
      <c r="M55" s="173"/>
      <c r="N55" s="225"/>
      <c r="O55" s="177"/>
      <c r="P55" s="177"/>
      <c r="Q55" s="177"/>
      <c r="R55" s="177"/>
      <c r="S55" s="177"/>
      <c r="T55" s="177"/>
      <c r="U55" s="177"/>
      <c r="V55" s="177"/>
      <c r="W55" s="177"/>
      <c r="X55" s="465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hidden="1" customHeight="1">
      <c r="A56" s="351"/>
      <c r="B56" s="460"/>
      <c r="C56" s="355"/>
      <c r="D56" s="355"/>
      <c r="E56" s="480"/>
      <c r="F56" s="465"/>
      <c r="G56" s="354"/>
      <c r="H56" s="86"/>
      <c r="I56" s="67" t="s">
        <v>30</v>
      </c>
      <c r="J56" s="87">
        <v>246103</v>
      </c>
      <c r="K56" s="173">
        <v>326859</v>
      </c>
      <c r="L56" s="173"/>
      <c r="M56" s="173"/>
      <c r="N56" s="173"/>
      <c r="O56" s="177"/>
      <c r="P56" s="177"/>
      <c r="Q56" s="177"/>
      <c r="R56" s="177"/>
      <c r="S56" s="177"/>
      <c r="T56" s="177"/>
      <c r="U56" s="177"/>
      <c r="V56" s="177"/>
      <c r="W56" s="177"/>
      <c r="X56" s="465"/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4.25" hidden="1" customHeight="1">
      <c r="A57" s="351"/>
      <c r="B57" s="460"/>
      <c r="C57" s="355"/>
      <c r="D57" s="355"/>
      <c r="E57" s="480"/>
      <c r="F57" s="465"/>
      <c r="G57" s="354"/>
      <c r="H57" s="89"/>
      <c r="I57" s="60" t="s">
        <v>33</v>
      </c>
      <c r="J57" s="226"/>
      <c r="K57" s="227"/>
      <c r="L57" s="225"/>
      <c r="M57" s="225"/>
      <c r="N57" s="225"/>
      <c r="O57" s="177"/>
      <c r="P57" s="177"/>
      <c r="Q57" s="177"/>
      <c r="R57" s="177"/>
      <c r="S57" s="177"/>
      <c r="T57" s="177"/>
      <c r="U57" s="177"/>
      <c r="V57" s="177"/>
      <c r="W57" s="177"/>
      <c r="X57" s="465"/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4.25" hidden="1" customHeight="1">
      <c r="A58" s="351"/>
      <c r="B58" s="460"/>
      <c r="C58" s="355"/>
      <c r="D58" s="355"/>
      <c r="E58" s="480"/>
      <c r="F58" s="465"/>
      <c r="G58" s="354"/>
      <c r="H58" s="88"/>
      <c r="I58" s="59" t="s">
        <v>26</v>
      </c>
      <c r="J58" s="65">
        <f t="shared" ref="J58:P58" si="19">SUM(J53:J57)</f>
        <v>548587</v>
      </c>
      <c r="K58" s="228">
        <f t="shared" si="19"/>
        <v>467362</v>
      </c>
      <c r="L58" s="179">
        <f t="shared" si="19"/>
        <v>0</v>
      </c>
      <c r="M58" s="179">
        <f t="shared" si="19"/>
        <v>0</v>
      </c>
      <c r="N58" s="179">
        <f t="shared" si="19"/>
        <v>0</v>
      </c>
      <c r="O58" s="179">
        <f t="shared" si="19"/>
        <v>0</v>
      </c>
      <c r="P58" s="179">
        <f t="shared" si="19"/>
        <v>0</v>
      </c>
      <c r="Q58" s="179"/>
      <c r="R58" s="179"/>
      <c r="S58" s="179"/>
      <c r="T58" s="179"/>
      <c r="U58" s="179"/>
      <c r="V58" s="179"/>
      <c r="W58" s="179"/>
      <c r="X58" s="465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4.25" customHeight="1">
      <c r="A59" s="56" t="s">
        <v>29</v>
      </c>
      <c r="B59" s="563" t="s">
        <v>22</v>
      </c>
      <c r="C59" s="564"/>
      <c r="D59" s="564"/>
      <c r="E59" s="565"/>
      <c r="F59" s="235">
        <f>F72+F87+F78+F117+F60+F66+F82+F94</f>
        <v>5204885</v>
      </c>
      <c r="G59" s="56" t="s">
        <v>11</v>
      </c>
      <c r="H59" s="56" t="s">
        <v>11</v>
      </c>
      <c r="I59" s="56" t="s">
        <v>11</v>
      </c>
      <c r="J59" s="232" t="e">
        <f>J65+J77+J93+#REF!+J98+J104+J110+J116</f>
        <v>#REF!</v>
      </c>
      <c r="K59" s="232" t="e">
        <f>K65+K77+K93+#REF!+K116+K98</f>
        <v>#REF!</v>
      </c>
      <c r="L59" s="57">
        <f>L77+L93+L81</f>
        <v>0</v>
      </c>
      <c r="M59" s="57">
        <f>M77+M93+M81+M120+M65+M71+M86</f>
        <v>0</v>
      </c>
      <c r="N59" s="57">
        <f>N71+N86+N93+N98</f>
        <v>1924238</v>
      </c>
      <c r="O59" s="57">
        <f t="shared" ref="O59:W59" si="20">O71+O86+O93+O98</f>
        <v>1987700</v>
      </c>
      <c r="P59" s="57">
        <f t="shared" si="20"/>
        <v>1246474</v>
      </c>
      <c r="Q59" s="57">
        <f t="shared" si="20"/>
        <v>0</v>
      </c>
      <c r="R59" s="57">
        <f t="shared" si="20"/>
        <v>0</v>
      </c>
      <c r="S59" s="57">
        <f t="shared" si="20"/>
        <v>0</v>
      </c>
      <c r="T59" s="57">
        <f t="shared" si="20"/>
        <v>0</v>
      </c>
      <c r="U59" s="57">
        <f t="shared" si="20"/>
        <v>0</v>
      </c>
      <c r="V59" s="57">
        <f t="shared" si="20"/>
        <v>0</v>
      </c>
      <c r="W59" s="57">
        <f t="shared" si="20"/>
        <v>0</v>
      </c>
      <c r="X59" s="235">
        <f>X60+X72+X87+X78+X117+X66+X82+X94</f>
        <v>5158412</v>
      </c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51">
        <v>1</v>
      </c>
      <c r="B60" s="474" t="s">
        <v>191</v>
      </c>
      <c r="C60" s="371">
        <v>2022</v>
      </c>
      <c r="D60" s="371">
        <v>2024</v>
      </c>
      <c r="E60" s="360" t="s">
        <v>27</v>
      </c>
      <c r="F60" s="483">
        <f>X60</f>
        <v>0</v>
      </c>
      <c r="G60" s="499" t="s">
        <v>192</v>
      </c>
      <c r="H60" s="165"/>
      <c r="I60" s="183" t="s">
        <v>28</v>
      </c>
      <c r="J60" s="184"/>
      <c r="K60" s="278"/>
      <c r="L60" s="187"/>
      <c r="M60" s="137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375">
        <f>SUM(L65:P65)</f>
        <v>0</v>
      </c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51"/>
      <c r="B61" s="474"/>
      <c r="C61" s="371"/>
      <c r="D61" s="371"/>
      <c r="E61" s="360"/>
      <c r="F61" s="483"/>
      <c r="G61" s="499"/>
      <c r="H61" s="200">
        <v>6059</v>
      </c>
      <c r="I61" s="166" t="s">
        <v>28</v>
      </c>
      <c r="J61" s="188">
        <f>202500+75000</f>
        <v>277500</v>
      </c>
      <c r="K61" s="188">
        <v>277500</v>
      </c>
      <c r="L61" s="187"/>
      <c r="M61" s="87"/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375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2" hidden="1" customHeight="1">
      <c r="A62" s="351"/>
      <c r="B62" s="474"/>
      <c r="C62" s="371"/>
      <c r="D62" s="371"/>
      <c r="E62" s="360"/>
      <c r="F62" s="483"/>
      <c r="G62" s="499"/>
      <c r="H62" s="200"/>
      <c r="I62" s="166" t="s">
        <v>31</v>
      </c>
      <c r="J62" s="188"/>
      <c r="K62" s="188"/>
      <c r="L62" s="187"/>
      <c r="M62" s="87"/>
      <c r="N62" s="278"/>
      <c r="O62" s="278"/>
      <c r="P62" s="278"/>
      <c r="Q62" s="278"/>
      <c r="R62" s="278"/>
      <c r="S62" s="278"/>
      <c r="T62" s="278"/>
      <c r="U62" s="278"/>
      <c r="V62" s="278"/>
      <c r="W62" s="278"/>
      <c r="X62" s="375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2" hidden="1" customHeight="1">
      <c r="A63" s="351"/>
      <c r="B63" s="474"/>
      <c r="C63" s="371"/>
      <c r="D63" s="371"/>
      <c r="E63" s="360"/>
      <c r="F63" s="483"/>
      <c r="G63" s="499"/>
      <c r="H63" s="200">
        <v>6057</v>
      </c>
      <c r="I63" s="166" t="s">
        <v>30</v>
      </c>
      <c r="J63" s="188">
        <v>756934</v>
      </c>
      <c r="K63" s="188">
        <v>756934</v>
      </c>
      <c r="L63" s="187"/>
      <c r="M63" s="87"/>
      <c r="N63" s="278"/>
      <c r="O63" s="278"/>
      <c r="P63" s="278"/>
      <c r="Q63" s="278"/>
      <c r="R63" s="278"/>
      <c r="S63" s="278"/>
      <c r="T63" s="278"/>
      <c r="U63" s="278"/>
      <c r="V63" s="278"/>
      <c r="W63" s="278"/>
      <c r="X63" s="375"/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2" hidden="1" customHeight="1">
      <c r="A64" s="351"/>
      <c r="B64" s="474"/>
      <c r="C64" s="371"/>
      <c r="D64" s="371"/>
      <c r="E64" s="360"/>
      <c r="F64" s="483"/>
      <c r="G64" s="499"/>
      <c r="H64" s="200"/>
      <c r="I64" s="166" t="s">
        <v>33</v>
      </c>
      <c r="J64" s="278"/>
      <c r="K64" s="278"/>
      <c r="L64" s="187"/>
      <c r="M64" s="98"/>
      <c r="N64" s="278"/>
      <c r="O64" s="278"/>
      <c r="P64" s="278"/>
      <c r="Q64" s="278"/>
      <c r="R64" s="278"/>
      <c r="S64" s="278"/>
      <c r="T64" s="278"/>
      <c r="U64" s="278"/>
      <c r="V64" s="278"/>
      <c r="W64" s="278"/>
      <c r="X64" s="375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5" hidden="1" customHeight="1">
      <c r="A65" s="351"/>
      <c r="B65" s="474"/>
      <c r="C65" s="371"/>
      <c r="D65" s="371"/>
      <c r="E65" s="360"/>
      <c r="F65" s="483"/>
      <c r="G65" s="499"/>
      <c r="H65" s="200"/>
      <c r="I65" s="160" t="s">
        <v>26</v>
      </c>
      <c r="J65" s="219">
        <f>SUM(J60:J64)</f>
        <v>1034434</v>
      </c>
      <c r="K65" s="192">
        <f t="shared" ref="K65:P65" si="21">SUM(K60:K64)</f>
        <v>1034434</v>
      </c>
      <c r="L65" s="162">
        <f t="shared" si="21"/>
        <v>0</v>
      </c>
      <c r="M65" s="162">
        <f t="shared" si="21"/>
        <v>0</v>
      </c>
      <c r="N65" s="192">
        <f t="shared" si="21"/>
        <v>0</v>
      </c>
      <c r="O65" s="192">
        <f t="shared" si="21"/>
        <v>0</v>
      </c>
      <c r="P65" s="192">
        <f t="shared" si="21"/>
        <v>0</v>
      </c>
      <c r="Q65" s="192"/>
      <c r="R65" s="192"/>
      <c r="S65" s="192"/>
      <c r="T65" s="192"/>
      <c r="U65" s="192"/>
      <c r="V65" s="192"/>
      <c r="W65" s="192"/>
      <c r="X65" s="375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51">
        <v>1</v>
      </c>
      <c r="B66" s="474" t="s">
        <v>243</v>
      </c>
      <c r="C66" s="371">
        <v>2024</v>
      </c>
      <c r="D66" s="371">
        <v>2025</v>
      </c>
      <c r="E66" s="360" t="s">
        <v>258</v>
      </c>
      <c r="F66" s="483">
        <f>X66</f>
        <v>499990</v>
      </c>
      <c r="G66" s="499" t="s">
        <v>119</v>
      </c>
      <c r="H66" s="165"/>
      <c r="I66" s="183" t="s">
        <v>28</v>
      </c>
      <c r="J66" s="184"/>
      <c r="K66" s="278"/>
      <c r="L66" s="187"/>
      <c r="M66" s="137"/>
      <c r="N66" s="278"/>
      <c r="O66" s="278"/>
      <c r="P66" s="278"/>
      <c r="Q66" s="278"/>
      <c r="R66" s="278"/>
      <c r="S66" s="278"/>
      <c r="T66" s="278"/>
      <c r="U66" s="278"/>
      <c r="V66" s="278"/>
      <c r="W66" s="278"/>
      <c r="X66" s="375">
        <f>SUM(L71:P71)</f>
        <v>499990</v>
      </c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51"/>
      <c r="B67" s="474"/>
      <c r="C67" s="371"/>
      <c r="D67" s="371"/>
      <c r="E67" s="360"/>
      <c r="F67" s="483"/>
      <c r="G67" s="499"/>
      <c r="H67" s="200">
        <v>6059</v>
      </c>
      <c r="I67" s="166" t="s">
        <v>28</v>
      </c>
      <c r="J67" s="188">
        <f>202500+75000</f>
        <v>277500</v>
      </c>
      <c r="K67" s="188">
        <v>277500</v>
      </c>
      <c r="L67" s="187"/>
      <c r="M67" s="87"/>
      <c r="N67" s="188">
        <v>12431</v>
      </c>
      <c r="O67" s="278"/>
      <c r="P67" s="278"/>
      <c r="Q67" s="278"/>
      <c r="R67" s="278"/>
      <c r="S67" s="278"/>
      <c r="T67" s="278"/>
      <c r="U67" s="278"/>
      <c r="V67" s="278"/>
      <c r="W67" s="278"/>
      <c r="X67" s="375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6.149999999999999" customHeight="1">
      <c r="A68" s="351"/>
      <c r="B68" s="474"/>
      <c r="C68" s="371"/>
      <c r="D68" s="371"/>
      <c r="E68" s="360"/>
      <c r="F68" s="483"/>
      <c r="G68" s="499"/>
      <c r="H68" s="200"/>
      <c r="I68" s="166" t="s">
        <v>31</v>
      </c>
      <c r="J68" s="188"/>
      <c r="K68" s="188"/>
      <c r="L68" s="187"/>
      <c r="M68" s="87"/>
      <c r="N68" s="278"/>
      <c r="O68" s="278"/>
      <c r="P68" s="278"/>
      <c r="Q68" s="278"/>
      <c r="R68" s="278"/>
      <c r="S68" s="278"/>
      <c r="T68" s="278"/>
      <c r="U68" s="278"/>
      <c r="V68" s="278"/>
      <c r="W68" s="278"/>
      <c r="X68" s="375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6.149999999999999" customHeight="1">
      <c r="A69" s="351"/>
      <c r="B69" s="474"/>
      <c r="C69" s="371"/>
      <c r="D69" s="371"/>
      <c r="E69" s="360"/>
      <c r="F69" s="483"/>
      <c r="G69" s="499"/>
      <c r="H69" s="200">
        <v>6057</v>
      </c>
      <c r="I69" s="166" t="s">
        <v>30</v>
      </c>
      <c r="J69" s="188">
        <v>756934</v>
      </c>
      <c r="K69" s="188">
        <v>756934</v>
      </c>
      <c r="L69" s="187"/>
      <c r="M69" s="87"/>
      <c r="N69" s="188">
        <v>487559</v>
      </c>
      <c r="O69" s="278"/>
      <c r="P69" s="278"/>
      <c r="Q69" s="278"/>
      <c r="R69" s="278"/>
      <c r="S69" s="278"/>
      <c r="T69" s="278"/>
      <c r="U69" s="278"/>
      <c r="V69" s="278"/>
      <c r="W69" s="278"/>
      <c r="X69" s="375"/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6.149999999999999" customHeight="1">
      <c r="A70" s="351"/>
      <c r="B70" s="474"/>
      <c r="C70" s="371"/>
      <c r="D70" s="371"/>
      <c r="E70" s="360"/>
      <c r="F70" s="483"/>
      <c r="G70" s="499"/>
      <c r="H70" s="200"/>
      <c r="I70" s="166" t="s">
        <v>33</v>
      </c>
      <c r="J70" s="278"/>
      <c r="K70" s="278"/>
      <c r="L70" s="187"/>
      <c r="M70" s="9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375"/>
      <c r="Y70" s="40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3.5" customHeight="1">
      <c r="A71" s="351"/>
      <c r="B71" s="474"/>
      <c r="C71" s="371"/>
      <c r="D71" s="371"/>
      <c r="E71" s="360"/>
      <c r="F71" s="483"/>
      <c r="G71" s="499"/>
      <c r="H71" s="200"/>
      <c r="I71" s="160" t="s">
        <v>26</v>
      </c>
      <c r="J71" s="219">
        <f>SUM(J66:J70)</f>
        <v>1034434</v>
      </c>
      <c r="K71" s="192">
        <f t="shared" ref="K71:P71" si="22">SUM(K66:K70)</f>
        <v>1034434</v>
      </c>
      <c r="L71" s="162">
        <f t="shared" si="22"/>
        <v>0</v>
      </c>
      <c r="M71" s="162">
        <f t="shared" si="22"/>
        <v>0</v>
      </c>
      <c r="N71" s="192">
        <f t="shared" si="22"/>
        <v>499990</v>
      </c>
      <c r="O71" s="192">
        <f t="shared" si="22"/>
        <v>0</v>
      </c>
      <c r="P71" s="192">
        <f t="shared" si="22"/>
        <v>0</v>
      </c>
      <c r="Q71" s="192"/>
      <c r="R71" s="192"/>
      <c r="S71" s="192"/>
      <c r="T71" s="192"/>
      <c r="U71" s="192"/>
      <c r="V71" s="192"/>
      <c r="W71" s="192"/>
      <c r="X71" s="375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51">
        <v>3</v>
      </c>
      <c r="B72" s="474" t="s">
        <v>190</v>
      </c>
      <c r="C72" s="397">
        <v>2022</v>
      </c>
      <c r="D72" s="355">
        <v>2024</v>
      </c>
      <c r="E72" s="480" t="s">
        <v>27</v>
      </c>
      <c r="F72" s="465">
        <f>X72</f>
        <v>0</v>
      </c>
      <c r="G72" s="498" t="s">
        <v>49</v>
      </c>
      <c r="H72" s="86"/>
      <c r="I72" s="58" t="s">
        <v>28</v>
      </c>
      <c r="J72" s="127"/>
      <c r="K72" s="115"/>
      <c r="L72" s="94"/>
      <c r="M72" s="87"/>
      <c r="N72" s="173"/>
      <c r="O72" s="175"/>
      <c r="P72" s="175"/>
      <c r="Q72" s="175"/>
      <c r="R72" s="175"/>
      <c r="S72" s="175"/>
      <c r="T72" s="175"/>
      <c r="U72" s="175"/>
      <c r="V72" s="175"/>
      <c r="W72" s="175"/>
      <c r="X72" s="375">
        <f>SUM(L77:W77)</f>
        <v>0</v>
      </c>
      <c r="Y72" s="40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2" hidden="1" customHeight="1">
      <c r="A73" s="351"/>
      <c r="B73" s="474"/>
      <c r="C73" s="397"/>
      <c r="D73" s="355"/>
      <c r="E73" s="480"/>
      <c r="F73" s="465"/>
      <c r="G73" s="498"/>
      <c r="H73" s="90">
        <v>6059</v>
      </c>
      <c r="I73" s="61" t="s">
        <v>28</v>
      </c>
      <c r="J73" s="127">
        <v>47759</v>
      </c>
      <c r="K73" s="115">
        <v>35055</v>
      </c>
      <c r="L73" s="94"/>
      <c r="M73" s="236"/>
      <c r="N73" s="173"/>
      <c r="O73" s="175"/>
      <c r="P73" s="175"/>
      <c r="Q73" s="175"/>
      <c r="R73" s="175"/>
      <c r="S73" s="175"/>
      <c r="T73" s="175"/>
      <c r="U73" s="175"/>
      <c r="V73" s="175"/>
      <c r="W73" s="175"/>
      <c r="X73" s="375"/>
      <c r="Y73" s="128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2" hidden="1" customHeight="1">
      <c r="A74" s="351"/>
      <c r="B74" s="474"/>
      <c r="C74" s="397"/>
      <c r="D74" s="355"/>
      <c r="E74" s="480"/>
      <c r="F74" s="465"/>
      <c r="G74" s="498"/>
      <c r="H74" s="90"/>
      <c r="I74" s="61" t="s">
        <v>31</v>
      </c>
      <c r="J74" s="122"/>
      <c r="K74" s="122"/>
      <c r="L74" s="98"/>
      <c r="M74" s="6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375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2" hidden="1" customHeight="1">
      <c r="A75" s="351"/>
      <c r="B75" s="474"/>
      <c r="C75" s="397"/>
      <c r="D75" s="355"/>
      <c r="E75" s="480"/>
      <c r="F75" s="465"/>
      <c r="G75" s="498"/>
      <c r="H75" s="90">
        <v>6057</v>
      </c>
      <c r="I75" s="61" t="s">
        <v>30</v>
      </c>
      <c r="J75" s="122">
        <v>270635</v>
      </c>
      <c r="K75" s="125">
        <v>198610</v>
      </c>
      <c r="L75" s="100"/>
      <c r="M75" s="84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375"/>
      <c r="Y75" s="129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3.5" hidden="1" customHeight="1">
      <c r="A76" s="351"/>
      <c r="B76" s="474"/>
      <c r="C76" s="397"/>
      <c r="D76" s="355"/>
      <c r="E76" s="480"/>
      <c r="F76" s="465"/>
      <c r="G76" s="498"/>
      <c r="H76" s="90"/>
      <c r="I76" s="61" t="s">
        <v>33</v>
      </c>
      <c r="J76" s="122"/>
      <c r="K76" s="122"/>
      <c r="L76" s="98"/>
      <c r="M76" s="6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375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5" hidden="1" customHeight="1">
      <c r="A77" s="351"/>
      <c r="B77" s="474"/>
      <c r="C77" s="397"/>
      <c r="D77" s="355"/>
      <c r="E77" s="480"/>
      <c r="F77" s="465"/>
      <c r="G77" s="498"/>
      <c r="H77" s="90"/>
      <c r="I77" s="64" t="s">
        <v>26</v>
      </c>
      <c r="J77" s="120">
        <f>SUM(J72:J76)</f>
        <v>318394</v>
      </c>
      <c r="K77" s="120">
        <f t="shared" ref="K77:P77" si="23">SUM(K72:K76)</f>
        <v>233665</v>
      </c>
      <c r="L77" s="102">
        <f t="shared" si="23"/>
        <v>0</v>
      </c>
      <c r="M77" s="65">
        <f>SUM(M72:M76)</f>
        <v>0</v>
      </c>
      <c r="N77" s="228">
        <f t="shared" si="23"/>
        <v>0</v>
      </c>
      <c r="O77" s="179">
        <f t="shared" si="23"/>
        <v>0</v>
      </c>
      <c r="P77" s="179">
        <f t="shared" si="23"/>
        <v>0</v>
      </c>
      <c r="Q77" s="179"/>
      <c r="R77" s="179"/>
      <c r="S77" s="179"/>
      <c r="T77" s="179"/>
      <c r="U77" s="179"/>
      <c r="V77" s="179"/>
      <c r="W77" s="179"/>
      <c r="X77" s="375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5" hidden="1" customHeight="1">
      <c r="A78" s="365">
        <v>4</v>
      </c>
      <c r="B78" s="474" t="s">
        <v>244</v>
      </c>
      <c r="C78" s="355">
        <v>2020</v>
      </c>
      <c r="D78" s="355">
        <v>2024</v>
      </c>
      <c r="E78" s="480" t="s">
        <v>27</v>
      </c>
      <c r="F78" s="465"/>
      <c r="G78" s="354">
        <v>80101</v>
      </c>
      <c r="H78" s="90">
        <v>6059</v>
      </c>
      <c r="I78" s="263" t="s">
        <v>28</v>
      </c>
      <c r="J78" s="173">
        <f>0.15*(50000+15000)</f>
        <v>9750</v>
      </c>
      <c r="K78" s="175">
        <v>16200</v>
      </c>
      <c r="L78" s="84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375">
        <f>SUM(L81:W81)</f>
        <v>0</v>
      </c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9.5" hidden="1" customHeight="1">
      <c r="A79" s="366"/>
      <c r="B79" s="474"/>
      <c r="C79" s="355"/>
      <c r="D79" s="355"/>
      <c r="E79" s="480"/>
      <c r="F79" s="465"/>
      <c r="G79" s="354"/>
      <c r="H79" s="90">
        <v>6056</v>
      </c>
      <c r="I79" s="263" t="s">
        <v>31</v>
      </c>
      <c r="J79" s="175"/>
      <c r="K79" s="175"/>
      <c r="L79" s="84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375"/>
      <c r="Y79" s="40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</row>
    <row r="80" spans="1:198" ht="19.5" hidden="1" customHeight="1">
      <c r="A80" s="366"/>
      <c r="B80" s="474"/>
      <c r="C80" s="355"/>
      <c r="D80" s="355"/>
      <c r="E80" s="480"/>
      <c r="F80" s="465"/>
      <c r="G80" s="354"/>
      <c r="H80" s="86">
        <v>6057</v>
      </c>
      <c r="I80" s="230" t="s">
        <v>160</v>
      </c>
      <c r="J80" s="173">
        <v>852941</v>
      </c>
      <c r="K80" s="173">
        <v>365500</v>
      </c>
      <c r="L80" s="84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375"/>
      <c r="Y80" s="40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</row>
    <row r="81" spans="1:198" ht="19.149999999999999" hidden="1" customHeight="1">
      <c r="A81" s="367"/>
      <c r="B81" s="474"/>
      <c r="C81" s="355"/>
      <c r="D81" s="355"/>
      <c r="E81" s="480"/>
      <c r="F81" s="465"/>
      <c r="G81" s="354"/>
      <c r="H81" s="90"/>
      <c r="I81" s="64" t="s">
        <v>26</v>
      </c>
      <c r="J81" s="231">
        <f t="shared" ref="J81:P81" si="24">SUM(J78:J80)</f>
        <v>862691</v>
      </c>
      <c r="K81" s="228">
        <f t="shared" si="24"/>
        <v>381700</v>
      </c>
      <c r="L81" s="66">
        <f t="shared" si="24"/>
        <v>0</v>
      </c>
      <c r="M81" s="179">
        <f t="shared" si="24"/>
        <v>0</v>
      </c>
      <c r="N81" s="179">
        <f t="shared" si="24"/>
        <v>0</v>
      </c>
      <c r="O81" s="179">
        <f t="shared" si="24"/>
        <v>0</v>
      </c>
      <c r="P81" s="179">
        <f t="shared" si="24"/>
        <v>0</v>
      </c>
      <c r="Q81" s="179"/>
      <c r="R81" s="179"/>
      <c r="S81" s="179"/>
      <c r="T81" s="179"/>
      <c r="U81" s="179"/>
      <c r="V81" s="179"/>
      <c r="W81" s="179"/>
      <c r="X81" s="375"/>
      <c r="Y81" s="40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</row>
    <row r="82" spans="1:198" ht="13.5" customHeight="1">
      <c r="A82" s="365">
        <v>2</v>
      </c>
      <c r="B82" s="486" t="s">
        <v>254</v>
      </c>
      <c r="C82" s="425">
        <v>2024</v>
      </c>
      <c r="D82" s="425">
        <v>2025</v>
      </c>
      <c r="E82" s="360" t="s">
        <v>258</v>
      </c>
      <c r="F82" s="489">
        <f>X82</f>
        <v>531820</v>
      </c>
      <c r="G82" s="422">
        <v>90095</v>
      </c>
      <c r="H82" s="90">
        <v>6059</v>
      </c>
      <c r="I82" s="61" t="s">
        <v>28</v>
      </c>
      <c r="J82" s="334"/>
      <c r="K82" s="334"/>
      <c r="L82" s="334"/>
      <c r="M82" s="334"/>
      <c r="N82" s="87">
        <v>50000</v>
      </c>
      <c r="O82" s="71"/>
      <c r="P82" s="71"/>
      <c r="Q82" s="71"/>
      <c r="R82" s="71"/>
      <c r="S82" s="71"/>
      <c r="T82" s="71"/>
      <c r="U82" s="71"/>
      <c r="V82" s="71"/>
      <c r="W82" s="71"/>
      <c r="X82" s="375">
        <f>N86</f>
        <v>531820</v>
      </c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66"/>
      <c r="B83" s="487"/>
      <c r="C83" s="426"/>
      <c r="D83" s="426"/>
      <c r="E83" s="360"/>
      <c r="F83" s="490"/>
      <c r="G83" s="423"/>
      <c r="H83" s="90"/>
      <c r="I83" s="61"/>
      <c r="J83" s="334"/>
      <c r="K83" s="334"/>
      <c r="L83" s="334"/>
      <c r="M83" s="334"/>
      <c r="N83" s="87"/>
      <c r="O83" s="71"/>
      <c r="P83" s="71"/>
      <c r="Q83" s="71"/>
      <c r="R83" s="71"/>
      <c r="S83" s="71"/>
      <c r="T83" s="71"/>
      <c r="U83" s="71"/>
      <c r="V83" s="71"/>
      <c r="W83" s="71"/>
      <c r="X83" s="375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3.5" customHeight="1">
      <c r="A84" s="366"/>
      <c r="B84" s="487"/>
      <c r="C84" s="426"/>
      <c r="D84" s="426"/>
      <c r="E84" s="360"/>
      <c r="F84" s="490"/>
      <c r="G84" s="423"/>
      <c r="H84" s="90">
        <v>6057</v>
      </c>
      <c r="I84" s="61" t="s">
        <v>30</v>
      </c>
      <c r="J84" s="334"/>
      <c r="K84" s="334"/>
      <c r="L84" s="334"/>
      <c r="M84" s="334"/>
      <c r="N84" s="87">
        <v>481820</v>
      </c>
      <c r="O84" s="71"/>
      <c r="P84" s="71"/>
      <c r="Q84" s="71"/>
      <c r="R84" s="71"/>
      <c r="S84" s="71"/>
      <c r="T84" s="71"/>
      <c r="U84" s="71"/>
      <c r="V84" s="71"/>
      <c r="W84" s="71"/>
      <c r="X84" s="375"/>
      <c r="Y84" s="149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  <c r="DO84" s="150"/>
      <c r="DP84" s="150"/>
      <c r="DQ84" s="150"/>
      <c r="DR84" s="150"/>
      <c r="DS84" s="150"/>
      <c r="DT84" s="150"/>
      <c r="DU84" s="150"/>
      <c r="DV84" s="150"/>
      <c r="DW84" s="150"/>
      <c r="DX84" s="150"/>
      <c r="DY84" s="150"/>
      <c r="DZ84" s="150"/>
      <c r="EA84" s="150"/>
      <c r="EB84" s="150"/>
      <c r="EC84" s="150"/>
      <c r="ED84" s="150"/>
      <c r="EE84" s="150"/>
      <c r="EF84" s="150"/>
      <c r="EG84" s="150"/>
      <c r="EH84" s="150"/>
      <c r="EI84" s="150"/>
      <c r="EJ84" s="150"/>
      <c r="EK84" s="150"/>
      <c r="EL84" s="150"/>
      <c r="EM84" s="150"/>
      <c r="EN84" s="150"/>
      <c r="EO84" s="150"/>
      <c r="EP84" s="150"/>
      <c r="EQ84" s="150"/>
      <c r="ER84" s="150"/>
      <c r="ES84" s="150"/>
      <c r="ET84" s="150"/>
      <c r="EU84" s="150"/>
      <c r="EV84" s="150"/>
      <c r="EW84" s="150"/>
      <c r="EX84" s="150"/>
      <c r="EY84" s="150"/>
      <c r="EZ84" s="150"/>
      <c r="FA84" s="150"/>
      <c r="FB84" s="150"/>
      <c r="FC84" s="150"/>
      <c r="FD84" s="150"/>
      <c r="FE84" s="150"/>
      <c r="FF84" s="150"/>
      <c r="FG84" s="150"/>
      <c r="FH84" s="150"/>
      <c r="FI84" s="150"/>
      <c r="FJ84" s="150"/>
      <c r="FK84" s="150"/>
      <c r="FL84" s="150"/>
      <c r="FM84" s="150"/>
      <c r="FN84" s="150"/>
      <c r="FO84" s="150"/>
      <c r="FP84" s="150"/>
      <c r="FQ84" s="150"/>
      <c r="FR84" s="150"/>
      <c r="FS84" s="150"/>
      <c r="FT84" s="150"/>
      <c r="FU84" s="150"/>
      <c r="FV84" s="150"/>
      <c r="FW84" s="150"/>
      <c r="FX84" s="150"/>
      <c r="FY84" s="150"/>
      <c r="FZ84" s="150"/>
      <c r="GA84" s="150"/>
      <c r="GB84" s="150"/>
      <c r="GC84" s="150"/>
      <c r="GD84" s="150"/>
      <c r="GE84" s="150"/>
      <c r="GF84" s="150"/>
      <c r="GG84" s="150"/>
      <c r="GH84" s="150"/>
      <c r="GI84" s="150"/>
      <c r="GJ84" s="150"/>
      <c r="GK84" s="150"/>
      <c r="GL84" s="150"/>
      <c r="GM84" s="150"/>
      <c r="GN84" s="150"/>
      <c r="GO84" s="96"/>
      <c r="GP84" s="96"/>
    </row>
    <row r="85" spans="1:198" ht="13.5" customHeight="1">
      <c r="A85" s="366"/>
      <c r="B85" s="487"/>
      <c r="C85" s="426"/>
      <c r="D85" s="426"/>
      <c r="E85" s="360"/>
      <c r="F85" s="490"/>
      <c r="G85" s="423"/>
      <c r="H85" s="90"/>
      <c r="I85" s="61"/>
      <c r="J85" s="334"/>
      <c r="K85" s="334"/>
      <c r="L85" s="334"/>
      <c r="M85" s="334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375"/>
      <c r="Y85" s="149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  <c r="DO85" s="150"/>
      <c r="DP85" s="150"/>
      <c r="DQ85" s="150"/>
      <c r="DR85" s="150"/>
      <c r="DS85" s="150"/>
      <c r="DT85" s="150"/>
      <c r="DU85" s="150"/>
      <c r="DV85" s="150"/>
      <c r="DW85" s="150"/>
      <c r="DX85" s="150"/>
      <c r="DY85" s="150"/>
      <c r="DZ85" s="150"/>
      <c r="EA85" s="150"/>
      <c r="EB85" s="150"/>
      <c r="EC85" s="150"/>
      <c r="ED85" s="150"/>
      <c r="EE85" s="150"/>
      <c r="EF85" s="150"/>
      <c r="EG85" s="150"/>
      <c r="EH85" s="150"/>
      <c r="EI85" s="150"/>
      <c r="EJ85" s="150"/>
      <c r="EK85" s="150"/>
      <c r="EL85" s="150"/>
      <c r="EM85" s="150"/>
      <c r="EN85" s="150"/>
      <c r="EO85" s="150"/>
      <c r="EP85" s="150"/>
      <c r="EQ85" s="150"/>
      <c r="ER85" s="150"/>
      <c r="ES85" s="150"/>
      <c r="ET85" s="150"/>
      <c r="EU85" s="150"/>
      <c r="EV85" s="150"/>
      <c r="EW85" s="150"/>
      <c r="EX85" s="150"/>
      <c r="EY85" s="150"/>
      <c r="EZ85" s="150"/>
      <c r="FA85" s="150"/>
      <c r="FB85" s="150"/>
      <c r="FC85" s="150"/>
      <c r="FD85" s="150"/>
      <c r="FE85" s="150"/>
      <c r="FF85" s="150"/>
      <c r="FG85" s="150"/>
      <c r="FH85" s="150"/>
      <c r="FI85" s="150"/>
      <c r="FJ85" s="150"/>
      <c r="FK85" s="150"/>
      <c r="FL85" s="150"/>
      <c r="FM85" s="150"/>
      <c r="FN85" s="150"/>
      <c r="FO85" s="150"/>
      <c r="FP85" s="150"/>
      <c r="FQ85" s="150"/>
      <c r="FR85" s="150"/>
      <c r="FS85" s="150"/>
      <c r="FT85" s="150"/>
      <c r="FU85" s="150"/>
      <c r="FV85" s="150"/>
      <c r="FW85" s="150"/>
      <c r="FX85" s="150"/>
      <c r="FY85" s="150"/>
      <c r="FZ85" s="150"/>
      <c r="GA85" s="150"/>
      <c r="GB85" s="150"/>
      <c r="GC85" s="150"/>
      <c r="GD85" s="150"/>
      <c r="GE85" s="150"/>
      <c r="GF85" s="150"/>
      <c r="GG85" s="150"/>
      <c r="GH85" s="150"/>
      <c r="GI85" s="150"/>
      <c r="GJ85" s="150"/>
      <c r="GK85" s="150"/>
      <c r="GL85" s="150"/>
      <c r="GM85" s="150"/>
      <c r="GN85" s="150"/>
      <c r="GO85" s="96"/>
      <c r="GP85" s="96"/>
    </row>
    <row r="86" spans="1:198" ht="13.5" customHeight="1">
      <c r="A86" s="367"/>
      <c r="B86" s="488"/>
      <c r="C86" s="427"/>
      <c r="D86" s="427"/>
      <c r="E86" s="360"/>
      <c r="F86" s="491"/>
      <c r="G86" s="424"/>
      <c r="H86" s="90"/>
      <c r="I86" s="64" t="s">
        <v>26</v>
      </c>
      <c r="J86" s="65"/>
      <c r="K86" s="65"/>
      <c r="L86" s="65"/>
      <c r="M86" s="65">
        <f>M82+M83+M84+M85</f>
        <v>0</v>
      </c>
      <c r="N86" s="65">
        <f>N82+N83+N84+N85</f>
        <v>531820</v>
      </c>
      <c r="O86" s="65"/>
      <c r="P86" s="65"/>
      <c r="Q86" s="65"/>
      <c r="R86" s="65"/>
      <c r="S86" s="65"/>
      <c r="T86" s="65"/>
      <c r="U86" s="65"/>
      <c r="V86" s="65"/>
      <c r="W86" s="65"/>
      <c r="X86" s="375"/>
      <c r="Y86" s="149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  <c r="DO86" s="150"/>
      <c r="DP86" s="150"/>
      <c r="DQ86" s="150"/>
      <c r="DR86" s="150"/>
      <c r="DS86" s="150"/>
      <c r="DT86" s="150"/>
      <c r="DU86" s="150"/>
      <c r="DV86" s="150"/>
      <c r="DW86" s="150"/>
      <c r="DX86" s="150"/>
      <c r="DY86" s="150"/>
      <c r="DZ86" s="150"/>
      <c r="EA86" s="150"/>
      <c r="EB86" s="150"/>
      <c r="EC86" s="150"/>
      <c r="ED86" s="150"/>
      <c r="EE86" s="150"/>
      <c r="EF86" s="150"/>
      <c r="EG86" s="150"/>
      <c r="EH86" s="150"/>
      <c r="EI86" s="150"/>
      <c r="EJ86" s="150"/>
      <c r="EK86" s="150"/>
      <c r="EL86" s="150"/>
      <c r="EM86" s="150"/>
      <c r="EN86" s="150"/>
      <c r="EO86" s="150"/>
      <c r="EP86" s="150"/>
      <c r="EQ86" s="150"/>
      <c r="ER86" s="150"/>
      <c r="ES86" s="150"/>
      <c r="ET86" s="150"/>
      <c r="EU86" s="150"/>
      <c r="EV86" s="150"/>
      <c r="EW86" s="150"/>
      <c r="EX86" s="150"/>
      <c r="EY86" s="150"/>
      <c r="EZ86" s="150"/>
      <c r="FA86" s="150"/>
      <c r="FB86" s="150"/>
      <c r="FC86" s="150"/>
      <c r="FD86" s="150"/>
      <c r="FE86" s="150"/>
      <c r="FF86" s="150"/>
      <c r="FG86" s="150"/>
      <c r="FH86" s="150"/>
      <c r="FI86" s="150"/>
      <c r="FJ86" s="150"/>
      <c r="FK86" s="150"/>
      <c r="FL86" s="150"/>
      <c r="FM86" s="150"/>
      <c r="FN86" s="150"/>
      <c r="FO86" s="150"/>
      <c r="FP86" s="150"/>
      <c r="FQ86" s="150"/>
      <c r="FR86" s="150"/>
      <c r="FS86" s="150"/>
      <c r="FT86" s="150"/>
      <c r="FU86" s="150"/>
      <c r="FV86" s="150"/>
      <c r="FW86" s="150"/>
      <c r="FX86" s="150"/>
      <c r="FY86" s="150"/>
      <c r="FZ86" s="150"/>
      <c r="GA86" s="150"/>
      <c r="GB86" s="150"/>
      <c r="GC86" s="150"/>
      <c r="GD86" s="150"/>
      <c r="GE86" s="150"/>
      <c r="GF86" s="150"/>
      <c r="GG86" s="150"/>
      <c r="GH86" s="150"/>
      <c r="GI86" s="150"/>
      <c r="GJ86" s="150"/>
      <c r="GK86" s="150"/>
      <c r="GL86" s="150"/>
      <c r="GM86" s="150"/>
      <c r="GN86" s="150"/>
      <c r="GO86" s="96"/>
      <c r="GP86" s="96"/>
    </row>
    <row r="87" spans="1:198" ht="15.75" customHeight="1">
      <c r="A87" s="351">
        <v>3</v>
      </c>
      <c r="B87" s="474" t="s">
        <v>248</v>
      </c>
      <c r="C87" s="355">
        <v>2024</v>
      </c>
      <c r="D87" s="355">
        <v>2025</v>
      </c>
      <c r="E87" s="477" t="s">
        <v>258</v>
      </c>
      <c r="F87" s="465">
        <f>0+X87</f>
        <v>892428</v>
      </c>
      <c r="G87" s="354">
        <v>75023</v>
      </c>
      <c r="H87" s="88"/>
      <c r="I87" s="210" t="s">
        <v>28</v>
      </c>
      <c r="J87" s="225"/>
      <c r="K87" s="173"/>
      <c r="L87" s="85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375">
        <f>SUM(L93:P93)</f>
        <v>892428</v>
      </c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51"/>
      <c r="B88" s="474"/>
      <c r="C88" s="355"/>
      <c r="D88" s="355"/>
      <c r="E88" s="477"/>
      <c r="F88" s="465"/>
      <c r="G88" s="354"/>
      <c r="H88" s="90">
        <v>6059</v>
      </c>
      <c r="I88" s="61" t="s">
        <v>28</v>
      </c>
      <c r="J88" s="173">
        <f>0.15*(50000+15000)</f>
        <v>9750</v>
      </c>
      <c r="K88" s="175">
        <v>16200</v>
      </c>
      <c r="L88" s="84"/>
      <c r="M88" s="175"/>
      <c r="N88" s="578">
        <v>112828</v>
      </c>
      <c r="O88" s="229"/>
      <c r="P88" s="229"/>
      <c r="Q88" s="229"/>
      <c r="R88" s="229"/>
      <c r="S88" s="229"/>
      <c r="T88" s="229"/>
      <c r="U88" s="229"/>
      <c r="V88" s="229"/>
      <c r="W88" s="229"/>
      <c r="X88" s="375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" customHeight="1">
      <c r="A89" s="351"/>
      <c r="B89" s="474"/>
      <c r="C89" s="355"/>
      <c r="D89" s="355"/>
      <c r="E89" s="477"/>
      <c r="F89" s="465"/>
      <c r="G89" s="354"/>
      <c r="H89" s="90">
        <v>6059</v>
      </c>
      <c r="I89" s="61" t="s">
        <v>31</v>
      </c>
      <c r="J89" s="175"/>
      <c r="K89" s="175"/>
      <c r="L89" s="84"/>
      <c r="M89" s="229"/>
      <c r="N89" s="336">
        <v>109144</v>
      </c>
      <c r="O89" s="229"/>
      <c r="P89" s="229"/>
      <c r="Q89" s="229"/>
      <c r="R89" s="229"/>
      <c r="S89" s="229"/>
      <c r="T89" s="229"/>
      <c r="U89" s="229"/>
      <c r="V89" s="229"/>
      <c r="W89" s="229"/>
      <c r="X89" s="375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" customHeight="1">
      <c r="A90" s="351"/>
      <c r="B90" s="474"/>
      <c r="C90" s="355"/>
      <c r="D90" s="355"/>
      <c r="E90" s="477"/>
      <c r="F90" s="465"/>
      <c r="G90" s="354"/>
      <c r="H90" s="90">
        <v>6057</v>
      </c>
      <c r="I90" s="61" t="s">
        <v>30</v>
      </c>
      <c r="J90" s="173">
        <v>69483</v>
      </c>
      <c r="K90" s="173">
        <v>128868</v>
      </c>
      <c r="L90" s="84"/>
      <c r="M90" s="175"/>
      <c r="N90" s="175">
        <v>670456</v>
      </c>
      <c r="O90" s="229"/>
      <c r="P90" s="229"/>
      <c r="Q90" s="229"/>
      <c r="R90" s="229"/>
      <c r="S90" s="229"/>
      <c r="T90" s="229"/>
      <c r="U90" s="229"/>
      <c r="V90" s="229"/>
      <c r="W90" s="229"/>
      <c r="X90" s="375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5" customHeight="1">
      <c r="A91" s="351"/>
      <c r="B91" s="474"/>
      <c r="C91" s="355"/>
      <c r="D91" s="355"/>
      <c r="E91" s="477"/>
      <c r="F91" s="465"/>
      <c r="G91" s="354"/>
      <c r="H91" s="89"/>
      <c r="I91" s="60" t="s">
        <v>33</v>
      </c>
      <c r="J91" s="229"/>
      <c r="K91" s="175"/>
      <c r="L91" s="84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375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5.75" customHeight="1">
      <c r="A92" s="351"/>
      <c r="B92" s="474"/>
      <c r="C92" s="355"/>
      <c r="D92" s="355"/>
      <c r="E92" s="477"/>
      <c r="F92" s="465"/>
      <c r="G92" s="354"/>
      <c r="H92" s="88"/>
      <c r="I92" s="230" t="s">
        <v>75</v>
      </c>
      <c r="J92" s="173">
        <v>852941</v>
      </c>
      <c r="K92" s="173">
        <v>365500</v>
      </c>
      <c r="L92" s="84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375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5.75" customHeight="1">
      <c r="A93" s="351"/>
      <c r="B93" s="474"/>
      <c r="C93" s="355"/>
      <c r="D93" s="355"/>
      <c r="E93" s="477"/>
      <c r="F93" s="465"/>
      <c r="G93" s="354"/>
      <c r="H93" s="89"/>
      <c r="I93" s="64" t="s">
        <v>26</v>
      </c>
      <c r="J93" s="231">
        <f>SUM(J87:J92)</f>
        <v>932174</v>
      </c>
      <c r="K93" s="228">
        <f>SUM(K87:K92)</f>
        <v>510568</v>
      </c>
      <c r="L93" s="66">
        <f>SUM(L87:L92)</f>
        <v>0</v>
      </c>
      <c r="M93" s="179">
        <f t="shared" ref="M93:P93" si="25">SUM(M87:M92)</f>
        <v>0</v>
      </c>
      <c r="N93" s="179">
        <f>SUM(N87:N92)</f>
        <v>892428</v>
      </c>
      <c r="O93" s="179">
        <f t="shared" si="25"/>
        <v>0</v>
      </c>
      <c r="P93" s="179">
        <f t="shared" si="25"/>
        <v>0</v>
      </c>
      <c r="Q93" s="179"/>
      <c r="R93" s="179"/>
      <c r="S93" s="179"/>
      <c r="T93" s="179"/>
      <c r="U93" s="179"/>
      <c r="V93" s="179"/>
      <c r="W93" s="179"/>
      <c r="X93" s="375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1.25" customHeight="1">
      <c r="A94" s="359">
        <v>4</v>
      </c>
      <c r="B94" s="476" t="s">
        <v>221</v>
      </c>
      <c r="C94" s="471">
        <v>2019</v>
      </c>
      <c r="D94" s="388">
        <v>2027</v>
      </c>
      <c r="E94" s="477" t="s">
        <v>258</v>
      </c>
      <c r="F94" s="485">
        <f>46473+X94</f>
        <v>3280647</v>
      </c>
      <c r="G94" s="431">
        <v>90026</v>
      </c>
      <c r="H94" s="86">
        <v>6050</v>
      </c>
      <c r="I94" s="58" t="s">
        <v>28</v>
      </c>
      <c r="J94" s="94">
        <v>577801</v>
      </c>
      <c r="K94" s="115">
        <v>560363</v>
      </c>
      <c r="L94" s="123"/>
      <c r="M94" s="123"/>
      <c r="N94" s="175">
        <v>0</v>
      </c>
      <c r="O94" s="175"/>
      <c r="P94" s="175"/>
      <c r="Q94" s="174"/>
      <c r="R94" s="174"/>
      <c r="S94" s="174"/>
      <c r="T94" s="174"/>
      <c r="U94" s="174"/>
      <c r="V94" s="174"/>
      <c r="W94" s="174"/>
      <c r="X94" s="375">
        <f>SUM(N98:W98)</f>
        <v>3234174</v>
      </c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5" customHeight="1">
      <c r="A95" s="359"/>
      <c r="B95" s="476"/>
      <c r="C95" s="471"/>
      <c r="D95" s="388"/>
      <c r="E95" s="477"/>
      <c r="F95" s="485"/>
      <c r="G95" s="431"/>
      <c r="H95" s="86">
        <v>6059</v>
      </c>
      <c r="I95" s="58" t="s">
        <v>28</v>
      </c>
      <c r="J95" s="94"/>
      <c r="K95" s="115"/>
      <c r="L95" s="123"/>
      <c r="M95" s="123"/>
      <c r="N95" s="175"/>
      <c r="O95" s="175">
        <v>550000</v>
      </c>
      <c r="P95" s="175">
        <v>550000</v>
      </c>
      <c r="Q95" s="174"/>
      <c r="R95" s="174"/>
      <c r="S95" s="174"/>
      <c r="T95" s="174"/>
      <c r="U95" s="174"/>
      <c r="V95" s="174"/>
      <c r="W95" s="174"/>
      <c r="X95" s="375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3.5" customHeight="1">
      <c r="A96" s="359"/>
      <c r="B96" s="476"/>
      <c r="C96" s="471"/>
      <c r="D96" s="388"/>
      <c r="E96" s="477"/>
      <c r="F96" s="485"/>
      <c r="G96" s="431"/>
      <c r="H96" s="86">
        <v>6057</v>
      </c>
      <c r="I96" s="58" t="s">
        <v>30</v>
      </c>
      <c r="J96" s="94">
        <v>2637562</v>
      </c>
      <c r="K96" s="115">
        <v>2557960</v>
      </c>
      <c r="L96" s="123"/>
      <c r="M96" s="123"/>
      <c r="N96" s="176"/>
      <c r="O96" s="175">
        <v>1437700</v>
      </c>
      <c r="P96" s="175">
        <v>696474</v>
      </c>
      <c r="Q96" s="174"/>
      <c r="R96" s="174"/>
      <c r="S96" s="174"/>
      <c r="T96" s="174"/>
      <c r="U96" s="174"/>
      <c r="V96" s="174"/>
      <c r="W96" s="174"/>
      <c r="X96" s="375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17.25" customHeight="1">
      <c r="A97" s="359"/>
      <c r="B97" s="476"/>
      <c r="C97" s="471"/>
      <c r="D97" s="388"/>
      <c r="E97" s="477"/>
      <c r="F97" s="485"/>
      <c r="G97" s="431"/>
      <c r="H97" s="89"/>
      <c r="I97" s="60" t="s">
        <v>33</v>
      </c>
      <c r="J97" s="117"/>
      <c r="K97" s="127"/>
      <c r="L97" s="123"/>
      <c r="M97" s="123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375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17.25" customHeight="1">
      <c r="A98" s="359"/>
      <c r="B98" s="476"/>
      <c r="C98" s="471"/>
      <c r="D98" s="388"/>
      <c r="E98" s="477"/>
      <c r="F98" s="485"/>
      <c r="G98" s="431"/>
      <c r="H98" s="88"/>
      <c r="I98" s="59" t="s">
        <v>26</v>
      </c>
      <c r="J98" s="102">
        <f t="shared" ref="J98:P98" si="26">SUM(J94:J97)</f>
        <v>3215363</v>
      </c>
      <c r="K98" s="120">
        <f t="shared" si="26"/>
        <v>3118323</v>
      </c>
      <c r="L98" s="121">
        <f t="shared" si="26"/>
        <v>0</v>
      </c>
      <c r="M98" s="121">
        <f t="shared" si="26"/>
        <v>0</v>
      </c>
      <c r="N98" s="179">
        <f t="shared" si="26"/>
        <v>0</v>
      </c>
      <c r="O98" s="179">
        <f t="shared" si="26"/>
        <v>1987700</v>
      </c>
      <c r="P98" s="179">
        <f t="shared" si="26"/>
        <v>1246474</v>
      </c>
      <c r="Q98" s="179"/>
      <c r="R98" s="179"/>
      <c r="S98" s="179"/>
      <c r="T98" s="179"/>
      <c r="U98" s="179"/>
      <c r="V98" s="179"/>
      <c r="W98" s="179"/>
      <c r="X98" s="375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 ht="24.75" hidden="1" customHeight="1">
      <c r="A99" s="359">
        <v>6</v>
      </c>
      <c r="B99" s="472" t="s">
        <v>124</v>
      </c>
      <c r="C99" s="449">
        <v>2017</v>
      </c>
      <c r="D99" s="445">
        <v>2019</v>
      </c>
      <c r="E99" s="545" t="s">
        <v>27</v>
      </c>
      <c r="F99" s="473"/>
      <c r="G99" s="479">
        <v>90095</v>
      </c>
      <c r="H99" s="104">
        <v>6050</v>
      </c>
      <c r="I99" s="105" t="s">
        <v>28</v>
      </c>
      <c r="J99" s="115"/>
      <c r="K99" s="116"/>
      <c r="L99" s="116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376"/>
      <c r="Y99" s="40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 ht="24.75" hidden="1" customHeight="1">
      <c r="A100" s="359"/>
      <c r="B100" s="472"/>
      <c r="C100" s="449"/>
      <c r="D100" s="445"/>
      <c r="E100" s="545"/>
      <c r="F100" s="473"/>
      <c r="G100" s="479"/>
      <c r="H100" s="104">
        <v>6059</v>
      </c>
      <c r="I100" s="118" t="s">
        <v>28</v>
      </c>
      <c r="J100" s="98">
        <v>99566</v>
      </c>
      <c r="K100" s="126"/>
      <c r="L100" s="126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376"/>
      <c r="Y100" s="40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 ht="24.75" hidden="1" customHeight="1">
      <c r="A101" s="359"/>
      <c r="B101" s="472"/>
      <c r="C101" s="449"/>
      <c r="D101" s="445"/>
      <c r="E101" s="545"/>
      <c r="F101" s="473"/>
      <c r="G101" s="479"/>
      <c r="H101" s="104"/>
      <c r="I101" s="105" t="s">
        <v>31</v>
      </c>
      <c r="J101" s="98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376"/>
      <c r="Y101" s="40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 ht="24.75" hidden="1" customHeight="1">
      <c r="A102" s="359"/>
      <c r="B102" s="472"/>
      <c r="C102" s="449"/>
      <c r="D102" s="445"/>
      <c r="E102" s="545"/>
      <c r="F102" s="473"/>
      <c r="G102" s="479"/>
      <c r="H102" s="104">
        <v>6057</v>
      </c>
      <c r="I102" s="118" t="s">
        <v>30</v>
      </c>
      <c r="J102" s="98">
        <v>232319</v>
      </c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376"/>
      <c r="Y102" s="40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 ht="24.75" hidden="1" customHeight="1">
      <c r="A103" s="359"/>
      <c r="B103" s="472"/>
      <c r="C103" s="449"/>
      <c r="D103" s="445"/>
      <c r="E103" s="545"/>
      <c r="F103" s="473"/>
      <c r="G103" s="479"/>
      <c r="H103" s="119"/>
      <c r="I103" s="97" t="s">
        <v>70</v>
      </c>
      <c r="J103" s="98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376"/>
      <c r="Y103" s="40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22.5" hidden="1" customHeight="1">
      <c r="A104" s="359"/>
      <c r="B104" s="472"/>
      <c r="C104" s="449"/>
      <c r="D104" s="445"/>
      <c r="E104" s="545"/>
      <c r="F104" s="473"/>
      <c r="G104" s="479"/>
      <c r="H104" s="113"/>
      <c r="I104" s="108" t="s">
        <v>26</v>
      </c>
      <c r="J104" s="102">
        <f>SUM(J99:J103)</f>
        <v>331885</v>
      </c>
      <c r="K104" s="120">
        <f t="shared" ref="K104:P104" si="27">SUM(K99:K103)</f>
        <v>0</v>
      </c>
      <c r="L104" s="130">
        <f t="shared" si="27"/>
        <v>0</v>
      </c>
      <c r="M104" s="121">
        <f t="shared" si="27"/>
        <v>0</v>
      </c>
      <c r="N104" s="121">
        <f t="shared" si="27"/>
        <v>0</v>
      </c>
      <c r="O104" s="121">
        <f t="shared" si="27"/>
        <v>0</v>
      </c>
      <c r="P104" s="121">
        <f t="shared" si="27"/>
        <v>0</v>
      </c>
      <c r="Q104" s="121"/>
      <c r="R104" s="121"/>
      <c r="S104" s="121"/>
      <c r="T104" s="121"/>
      <c r="U104" s="121"/>
      <c r="V104" s="121"/>
      <c r="W104" s="121"/>
      <c r="X104" s="376"/>
      <c r="Y104" s="40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359">
        <v>7</v>
      </c>
      <c r="B105" s="472" t="s">
        <v>125</v>
      </c>
      <c r="C105" s="475">
        <v>2017</v>
      </c>
      <c r="D105" s="445">
        <v>2019</v>
      </c>
      <c r="E105" s="463" t="s">
        <v>27</v>
      </c>
      <c r="F105" s="473">
        <v>0</v>
      </c>
      <c r="G105" s="478">
        <v>90095</v>
      </c>
      <c r="H105" s="104">
        <v>6050</v>
      </c>
      <c r="I105" s="105" t="s">
        <v>28</v>
      </c>
      <c r="J105" s="115"/>
      <c r="K105" s="116"/>
      <c r="L105" s="116"/>
      <c r="M105" s="116"/>
      <c r="N105" s="131"/>
      <c r="O105" s="116"/>
      <c r="P105" s="117"/>
      <c r="Q105" s="117"/>
      <c r="R105" s="117"/>
      <c r="S105" s="117"/>
      <c r="T105" s="117"/>
      <c r="U105" s="117"/>
      <c r="V105" s="117"/>
      <c r="W105" s="117"/>
      <c r="X105" s="376">
        <f>SUM(J110:P110)</f>
        <v>84031</v>
      </c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359"/>
      <c r="B106" s="472"/>
      <c r="C106" s="475"/>
      <c r="D106" s="445"/>
      <c r="E106" s="463"/>
      <c r="F106" s="473"/>
      <c r="G106" s="478"/>
      <c r="H106" s="104">
        <v>6059</v>
      </c>
      <c r="I106" s="118" t="s">
        <v>28</v>
      </c>
      <c r="J106" s="122">
        <v>25209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76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359"/>
      <c r="B107" s="472"/>
      <c r="C107" s="475"/>
      <c r="D107" s="445"/>
      <c r="E107" s="463"/>
      <c r="F107" s="473"/>
      <c r="G107" s="478"/>
      <c r="H107" s="104"/>
      <c r="I107" s="105" t="s">
        <v>31</v>
      </c>
      <c r="J107" s="125"/>
      <c r="K107" s="126"/>
      <c r="L107" s="126"/>
      <c r="M107" s="126"/>
      <c r="N107" s="126"/>
      <c r="O107" s="126"/>
      <c r="P107" s="117"/>
      <c r="Q107" s="117"/>
      <c r="R107" s="117"/>
      <c r="S107" s="117"/>
      <c r="T107" s="117"/>
      <c r="U107" s="117"/>
      <c r="V107" s="117"/>
      <c r="W107" s="117"/>
      <c r="X107" s="376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16.5" hidden="1" customHeight="1">
      <c r="A108" s="359"/>
      <c r="B108" s="472"/>
      <c r="C108" s="475"/>
      <c r="D108" s="445"/>
      <c r="E108" s="463"/>
      <c r="F108" s="473"/>
      <c r="G108" s="478"/>
      <c r="H108" s="104">
        <v>6057</v>
      </c>
      <c r="I108" s="118" t="s">
        <v>30</v>
      </c>
      <c r="J108" s="122">
        <v>58822</v>
      </c>
      <c r="K108" s="123"/>
      <c r="L108" s="123"/>
      <c r="M108" s="123"/>
      <c r="N108" s="123"/>
      <c r="O108" s="123"/>
      <c r="P108" s="117"/>
      <c r="Q108" s="117"/>
      <c r="R108" s="117"/>
      <c r="S108" s="117"/>
      <c r="T108" s="117"/>
      <c r="U108" s="117"/>
      <c r="V108" s="117"/>
      <c r="W108" s="117"/>
      <c r="X108" s="376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6.5" hidden="1" customHeight="1">
      <c r="A109" s="359"/>
      <c r="B109" s="472"/>
      <c r="C109" s="475"/>
      <c r="D109" s="445"/>
      <c r="E109" s="463"/>
      <c r="F109" s="473"/>
      <c r="G109" s="478"/>
      <c r="H109" s="119"/>
      <c r="I109" s="92" t="s">
        <v>33</v>
      </c>
      <c r="J109" s="126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376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0.75" hidden="1" customHeight="1">
      <c r="A110" s="359"/>
      <c r="B110" s="472"/>
      <c r="C110" s="475"/>
      <c r="D110" s="445"/>
      <c r="E110" s="463"/>
      <c r="F110" s="473"/>
      <c r="G110" s="478"/>
      <c r="H110" s="113"/>
      <c r="I110" s="108" t="s">
        <v>26</v>
      </c>
      <c r="J110" s="120">
        <f>SUM(J105:J109)</f>
        <v>84031</v>
      </c>
      <c r="K110" s="120">
        <f>SUM(K105:K109)</f>
        <v>0</v>
      </c>
      <c r="L110" s="120">
        <f t="shared" ref="L110:P110" si="28">SUM(L105:L109)</f>
        <v>0</v>
      </c>
      <c r="M110" s="120">
        <f t="shared" si="28"/>
        <v>0</v>
      </c>
      <c r="N110" s="120">
        <f t="shared" si="28"/>
        <v>0</v>
      </c>
      <c r="O110" s="120">
        <f t="shared" si="28"/>
        <v>0</v>
      </c>
      <c r="P110" s="121">
        <f t="shared" si="28"/>
        <v>0</v>
      </c>
      <c r="Q110" s="121"/>
      <c r="R110" s="121"/>
      <c r="S110" s="121"/>
      <c r="T110" s="121"/>
      <c r="U110" s="121"/>
      <c r="V110" s="121"/>
      <c r="W110" s="121"/>
      <c r="X110" s="376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51">
        <v>6</v>
      </c>
      <c r="B111" s="472" t="s">
        <v>126</v>
      </c>
      <c r="C111" s="428">
        <v>2019</v>
      </c>
      <c r="D111" s="445">
        <v>2020</v>
      </c>
      <c r="E111" s="412" t="s">
        <v>27</v>
      </c>
      <c r="F111" s="473"/>
      <c r="G111" s="418">
        <v>90095</v>
      </c>
      <c r="H111" s="104"/>
      <c r="I111" s="105" t="s">
        <v>28</v>
      </c>
      <c r="J111" s="115"/>
      <c r="K111" s="115"/>
      <c r="L111" s="116"/>
      <c r="M111" s="116"/>
      <c r="N111" s="131"/>
      <c r="O111" s="116"/>
      <c r="P111" s="117"/>
      <c r="Q111" s="117"/>
      <c r="R111" s="117"/>
      <c r="S111" s="117"/>
      <c r="T111" s="117"/>
      <c r="U111" s="117"/>
      <c r="V111" s="117"/>
      <c r="W111" s="117"/>
      <c r="X111" s="376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51"/>
      <c r="B112" s="472"/>
      <c r="C112" s="428"/>
      <c r="D112" s="445"/>
      <c r="E112" s="412"/>
      <c r="F112" s="473"/>
      <c r="G112" s="418"/>
      <c r="H112" s="104">
        <v>6059</v>
      </c>
      <c r="I112" s="118" t="s">
        <v>28</v>
      </c>
      <c r="J112" s="122">
        <v>447740</v>
      </c>
      <c r="K112" s="125">
        <v>398600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76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51"/>
      <c r="B113" s="472"/>
      <c r="C113" s="428"/>
      <c r="D113" s="445"/>
      <c r="E113" s="412"/>
      <c r="F113" s="473"/>
      <c r="G113" s="418"/>
      <c r="H113" s="104"/>
      <c r="I113" s="105" t="s">
        <v>31</v>
      </c>
      <c r="J113" s="125"/>
      <c r="K113" s="132"/>
      <c r="L113" s="126"/>
      <c r="M113" s="126"/>
      <c r="N113" s="126"/>
      <c r="O113" s="126"/>
      <c r="P113" s="117"/>
      <c r="Q113" s="117"/>
      <c r="R113" s="117"/>
      <c r="S113" s="117"/>
      <c r="T113" s="117"/>
      <c r="U113" s="117"/>
      <c r="V113" s="117"/>
      <c r="W113" s="117"/>
      <c r="X113" s="376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17.25" hidden="1" customHeight="1">
      <c r="A114" s="351"/>
      <c r="B114" s="472"/>
      <c r="C114" s="428"/>
      <c r="D114" s="445"/>
      <c r="E114" s="412"/>
      <c r="F114" s="473"/>
      <c r="G114" s="418"/>
      <c r="H114" s="104">
        <v>6057</v>
      </c>
      <c r="I114" s="118" t="s">
        <v>30</v>
      </c>
      <c r="J114" s="122"/>
      <c r="K114" s="125">
        <v>171509</v>
      </c>
      <c r="L114" s="123"/>
      <c r="M114" s="123"/>
      <c r="N114" s="123"/>
      <c r="O114" s="123"/>
      <c r="P114" s="117"/>
      <c r="Q114" s="117"/>
      <c r="R114" s="117"/>
      <c r="S114" s="117"/>
      <c r="T114" s="117"/>
      <c r="U114" s="117"/>
      <c r="V114" s="117"/>
      <c r="W114" s="117"/>
      <c r="X114" s="376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17.25" hidden="1" customHeight="1">
      <c r="A115" s="351"/>
      <c r="B115" s="472"/>
      <c r="C115" s="428"/>
      <c r="D115" s="445"/>
      <c r="E115" s="412"/>
      <c r="F115" s="473"/>
      <c r="G115" s="418"/>
      <c r="H115" s="119"/>
      <c r="I115" s="92" t="s">
        <v>33</v>
      </c>
      <c r="J115" s="125"/>
      <c r="K115" s="12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376"/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1" hidden="1" customHeight="1">
      <c r="A116" s="351"/>
      <c r="B116" s="472"/>
      <c r="C116" s="428"/>
      <c r="D116" s="445"/>
      <c r="E116" s="412"/>
      <c r="F116" s="473"/>
      <c r="G116" s="418"/>
      <c r="H116" s="113"/>
      <c r="I116" s="108" t="s">
        <v>26</v>
      </c>
      <c r="J116" s="120">
        <f>SUM(J111:J115)</f>
        <v>447740</v>
      </c>
      <c r="K116" s="120">
        <f>SUM(K111:K115)</f>
        <v>570109</v>
      </c>
      <c r="L116" s="120">
        <f t="shared" ref="L116:P116" si="29">SUM(L111:L115)</f>
        <v>0</v>
      </c>
      <c r="M116" s="120">
        <f t="shared" si="29"/>
        <v>0</v>
      </c>
      <c r="N116" s="120">
        <f t="shared" si="29"/>
        <v>0</v>
      </c>
      <c r="O116" s="120">
        <f t="shared" si="29"/>
        <v>0</v>
      </c>
      <c r="P116" s="121">
        <f t="shared" si="29"/>
        <v>0</v>
      </c>
      <c r="Q116" s="121"/>
      <c r="R116" s="121"/>
      <c r="S116" s="121"/>
      <c r="T116" s="121"/>
      <c r="U116" s="121"/>
      <c r="V116" s="121"/>
      <c r="W116" s="121"/>
      <c r="X116" s="376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8.5" hidden="1" customHeight="1">
      <c r="A117" s="365">
        <v>5</v>
      </c>
      <c r="B117" s="492" t="s">
        <v>203</v>
      </c>
      <c r="C117" s="388">
        <v>2023</v>
      </c>
      <c r="D117" s="355">
        <v>2023</v>
      </c>
      <c r="E117" s="477" t="s">
        <v>27</v>
      </c>
      <c r="F117" s="465">
        <f>X117</f>
        <v>0</v>
      </c>
      <c r="G117" s="354">
        <v>75495</v>
      </c>
      <c r="H117" s="90">
        <v>6059</v>
      </c>
      <c r="I117" s="263" t="s">
        <v>34</v>
      </c>
      <c r="J117" s="173">
        <f>0.15*(50000+15000)</f>
        <v>9750</v>
      </c>
      <c r="K117" s="175">
        <v>16200</v>
      </c>
      <c r="L117" s="84"/>
      <c r="M117" s="125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375">
        <f>SUM(L120:W120)</f>
        <v>0</v>
      </c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24.75" hidden="1" customHeight="1">
      <c r="A118" s="366"/>
      <c r="B118" s="492"/>
      <c r="C118" s="388"/>
      <c r="D118" s="355"/>
      <c r="E118" s="477"/>
      <c r="F118" s="465"/>
      <c r="G118" s="354"/>
      <c r="H118" s="90"/>
      <c r="I118" s="263" t="s">
        <v>31</v>
      </c>
      <c r="J118" s="175"/>
      <c r="K118" s="175"/>
      <c r="L118" s="84"/>
      <c r="M118" s="125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375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6.25" hidden="1" customHeight="1">
      <c r="A119" s="366"/>
      <c r="B119" s="492"/>
      <c r="C119" s="388"/>
      <c r="D119" s="355"/>
      <c r="E119" s="477"/>
      <c r="F119" s="465"/>
      <c r="G119" s="354"/>
      <c r="H119" s="88">
        <v>6057</v>
      </c>
      <c r="I119" s="230" t="s">
        <v>186</v>
      </c>
      <c r="J119" s="173">
        <v>852941</v>
      </c>
      <c r="K119" s="173">
        <v>365500</v>
      </c>
      <c r="L119" s="84"/>
      <c r="M119" s="125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375"/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" hidden="1" customHeight="1">
      <c r="A120" s="367"/>
      <c r="B120" s="492"/>
      <c r="C120" s="388"/>
      <c r="D120" s="355"/>
      <c r="E120" s="477"/>
      <c r="F120" s="465"/>
      <c r="G120" s="354"/>
      <c r="H120" s="89"/>
      <c r="I120" s="64" t="s">
        <v>26</v>
      </c>
      <c r="J120" s="231">
        <f t="shared" ref="J120:P120" si="30">SUM(J117:J119)</f>
        <v>862691</v>
      </c>
      <c r="K120" s="228">
        <f t="shared" si="30"/>
        <v>381700</v>
      </c>
      <c r="L120" s="66">
        <f t="shared" si="30"/>
        <v>0</v>
      </c>
      <c r="M120" s="179">
        <f t="shared" si="30"/>
        <v>0</v>
      </c>
      <c r="N120" s="179">
        <f t="shared" si="30"/>
        <v>0</v>
      </c>
      <c r="O120" s="179">
        <f t="shared" si="30"/>
        <v>0</v>
      </c>
      <c r="P120" s="179">
        <f t="shared" si="30"/>
        <v>0</v>
      </c>
      <c r="Q120" s="179"/>
      <c r="R120" s="179"/>
      <c r="S120" s="179"/>
      <c r="T120" s="179"/>
      <c r="U120" s="179"/>
      <c r="V120" s="179"/>
      <c r="W120" s="179"/>
      <c r="X120" s="375"/>
      <c r="Y120" s="40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8.75" customHeight="1">
      <c r="A121" s="193" t="s">
        <v>35</v>
      </c>
      <c r="B121" s="518" t="s">
        <v>36</v>
      </c>
      <c r="C121" s="518"/>
      <c r="D121" s="518"/>
      <c r="E121" s="518"/>
      <c r="F121" s="248">
        <f>F122+F129</f>
        <v>12029502</v>
      </c>
      <c r="G121" s="195" t="s">
        <v>11</v>
      </c>
      <c r="H121" s="195" t="s">
        <v>11</v>
      </c>
      <c r="I121" s="195" t="s">
        <v>11</v>
      </c>
      <c r="J121" s="196">
        <f>J129</f>
        <v>0</v>
      </c>
      <c r="K121" s="196">
        <f>K129</f>
        <v>0</v>
      </c>
      <c r="L121" s="197">
        <f>L122+L129</f>
        <v>0</v>
      </c>
      <c r="M121" s="198">
        <f>M122+M129</f>
        <v>0</v>
      </c>
      <c r="N121" s="198">
        <f t="shared" ref="N121:W121" si="31">N122+N129</f>
        <v>1336929</v>
      </c>
      <c r="O121" s="198">
        <f t="shared" si="31"/>
        <v>1257381</v>
      </c>
      <c r="P121" s="198">
        <f t="shared" si="31"/>
        <v>1177832</v>
      </c>
      <c r="Q121" s="198">
        <f t="shared" si="31"/>
        <v>1098284</v>
      </c>
      <c r="R121" s="198">
        <f t="shared" si="31"/>
        <v>1018735</v>
      </c>
      <c r="S121" s="198">
        <f t="shared" si="31"/>
        <v>939186</v>
      </c>
      <c r="T121" s="198">
        <f t="shared" si="31"/>
        <v>859638</v>
      </c>
      <c r="U121" s="198">
        <f t="shared" si="31"/>
        <v>780089</v>
      </c>
      <c r="V121" s="198">
        <f t="shared" si="31"/>
        <v>700541</v>
      </c>
      <c r="W121" s="198">
        <f t="shared" si="31"/>
        <v>54789</v>
      </c>
      <c r="X121" s="194">
        <f>X122+X129</f>
        <v>9223404</v>
      </c>
      <c r="Y121" s="40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4.25" customHeight="1">
      <c r="A122" s="69" t="s">
        <v>37</v>
      </c>
      <c r="B122" s="543" t="s">
        <v>20</v>
      </c>
      <c r="C122" s="543"/>
      <c r="D122" s="543"/>
      <c r="E122" s="543"/>
      <c r="F122" s="246">
        <f>F123</f>
        <v>5645801</v>
      </c>
      <c r="G122" s="69" t="s">
        <v>11</v>
      </c>
      <c r="H122" s="69" t="s">
        <v>11</v>
      </c>
      <c r="I122" s="69" t="s">
        <v>11</v>
      </c>
      <c r="J122" s="171">
        <v>0</v>
      </c>
      <c r="K122" s="171">
        <f>K128</f>
        <v>0</v>
      </c>
      <c r="L122" s="171">
        <f t="shared" ref="L122:W122" si="32">L128</f>
        <v>0</v>
      </c>
      <c r="M122" s="172">
        <f t="shared" si="32"/>
        <v>0</v>
      </c>
      <c r="N122" s="172">
        <f t="shared" si="32"/>
        <v>756592</v>
      </c>
      <c r="O122" s="172">
        <f t="shared" si="32"/>
        <v>677044</v>
      </c>
      <c r="P122" s="172">
        <f t="shared" si="32"/>
        <v>597495</v>
      </c>
      <c r="Q122" s="172">
        <f t="shared" si="32"/>
        <v>517947</v>
      </c>
      <c r="R122" s="172">
        <f t="shared" si="32"/>
        <v>438398</v>
      </c>
      <c r="S122" s="172">
        <f t="shared" si="32"/>
        <v>358849</v>
      </c>
      <c r="T122" s="172">
        <f t="shared" si="32"/>
        <v>279301</v>
      </c>
      <c r="U122" s="172">
        <f t="shared" si="32"/>
        <v>199752</v>
      </c>
      <c r="V122" s="172">
        <f t="shared" si="32"/>
        <v>120204</v>
      </c>
      <c r="W122" s="172">
        <f t="shared" si="32"/>
        <v>6427</v>
      </c>
      <c r="X122" s="465">
        <f>SUM(L128:W128)</f>
        <v>3952009</v>
      </c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7.25" hidden="1" customHeight="1">
      <c r="A123" s="351">
        <v>1</v>
      </c>
      <c r="B123" s="482" t="s">
        <v>63</v>
      </c>
      <c r="C123" s="397">
        <v>2020</v>
      </c>
      <c r="D123" s="355">
        <v>2034</v>
      </c>
      <c r="E123" s="480" t="s">
        <v>258</v>
      </c>
      <c r="F123" s="465">
        <f>836651+X122+857141</f>
        <v>5645801</v>
      </c>
      <c r="G123" s="431">
        <v>90015</v>
      </c>
      <c r="H123" s="86"/>
      <c r="I123" s="58" t="s">
        <v>28</v>
      </c>
      <c r="J123" s="173"/>
      <c r="K123" s="173"/>
      <c r="L123" s="174"/>
      <c r="M123" s="77"/>
      <c r="N123" s="77"/>
      <c r="O123" s="63"/>
      <c r="P123" s="63"/>
      <c r="Q123" s="63"/>
      <c r="R123" s="62"/>
      <c r="S123" s="62"/>
      <c r="T123" s="62"/>
      <c r="U123" s="62"/>
      <c r="V123" s="62"/>
      <c r="W123" s="62"/>
      <c r="X123" s="465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51"/>
      <c r="B124" s="482"/>
      <c r="C124" s="397"/>
      <c r="D124" s="355"/>
      <c r="E124" s="480"/>
      <c r="F124" s="465"/>
      <c r="G124" s="431"/>
      <c r="H124" s="86"/>
      <c r="I124" s="58" t="s">
        <v>28</v>
      </c>
      <c r="J124" s="87">
        <v>577801</v>
      </c>
      <c r="K124" s="173">
        <v>0</v>
      </c>
      <c r="L124" s="175"/>
      <c r="M124" s="84"/>
      <c r="N124" s="84">
        <v>756592</v>
      </c>
      <c r="O124" s="84">
        <v>677044</v>
      </c>
      <c r="P124" s="84">
        <v>597495</v>
      </c>
      <c r="Q124" s="84">
        <v>517947</v>
      </c>
      <c r="R124" s="84">
        <v>438398</v>
      </c>
      <c r="S124" s="84">
        <v>358849</v>
      </c>
      <c r="T124" s="84">
        <v>279301</v>
      </c>
      <c r="U124" s="84">
        <v>199752</v>
      </c>
      <c r="V124" s="84">
        <v>120204</v>
      </c>
      <c r="W124" s="84">
        <v>6427</v>
      </c>
      <c r="X124" s="465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51"/>
      <c r="B125" s="482"/>
      <c r="C125" s="397"/>
      <c r="D125" s="355"/>
      <c r="E125" s="480"/>
      <c r="F125" s="465"/>
      <c r="G125" s="431"/>
      <c r="H125" s="86"/>
      <c r="I125" s="58" t="s">
        <v>31</v>
      </c>
      <c r="J125" s="173"/>
      <c r="K125" s="173"/>
      <c r="L125" s="176"/>
      <c r="M125" s="62"/>
      <c r="N125" s="62"/>
      <c r="O125" s="62"/>
      <c r="P125" s="62"/>
      <c r="Q125" s="62"/>
      <c r="R125" s="63"/>
      <c r="S125" s="62"/>
      <c r="T125" s="62"/>
      <c r="U125" s="62"/>
      <c r="V125" s="62"/>
      <c r="W125" s="62"/>
      <c r="X125" s="465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2" customHeight="1">
      <c r="A126" s="351"/>
      <c r="B126" s="482"/>
      <c r="C126" s="397"/>
      <c r="D126" s="355"/>
      <c r="E126" s="480"/>
      <c r="F126" s="465"/>
      <c r="G126" s="431"/>
      <c r="H126" s="86"/>
      <c r="I126" s="58" t="s">
        <v>30</v>
      </c>
      <c r="J126" s="87">
        <v>2637562</v>
      </c>
      <c r="K126" s="173"/>
      <c r="L126" s="176"/>
      <c r="M126" s="62"/>
      <c r="N126" s="62"/>
      <c r="O126" s="62"/>
      <c r="P126" s="62"/>
      <c r="Q126" s="62"/>
      <c r="R126" s="63"/>
      <c r="S126" s="62"/>
      <c r="T126" s="62"/>
      <c r="U126" s="62"/>
      <c r="V126" s="62"/>
      <c r="W126" s="62"/>
      <c r="X126" s="465"/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2" customHeight="1">
      <c r="A127" s="351"/>
      <c r="B127" s="482"/>
      <c r="C127" s="397"/>
      <c r="D127" s="355"/>
      <c r="E127" s="480"/>
      <c r="F127" s="465"/>
      <c r="G127" s="431"/>
      <c r="H127" s="89"/>
      <c r="I127" s="60" t="s">
        <v>33</v>
      </c>
      <c r="J127" s="177"/>
      <c r="K127" s="178"/>
      <c r="L127" s="174"/>
      <c r="M127" s="62"/>
      <c r="N127" s="63"/>
      <c r="O127" s="63"/>
      <c r="P127" s="63"/>
      <c r="Q127" s="63"/>
      <c r="R127" s="63"/>
      <c r="S127" s="62"/>
      <c r="T127" s="62"/>
      <c r="U127" s="62"/>
      <c r="V127" s="62"/>
      <c r="W127" s="62"/>
      <c r="X127" s="465"/>
      <c r="Y127" s="133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13.5" customHeight="1">
      <c r="A128" s="351"/>
      <c r="B128" s="482"/>
      <c r="C128" s="397"/>
      <c r="D128" s="355"/>
      <c r="E128" s="480"/>
      <c r="F128" s="465"/>
      <c r="G128" s="431"/>
      <c r="H128" s="88"/>
      <c r="I128" s="59" t="s">
        <v>26</v>
      </c>
      <c r="J128" s="65">
        <f>SUM(J123:J127)</f>
        <v>3215363</v>
      </c>
      <c r="K128" s="65">
        <f t="shared" ref="K128:X128" si="33">SUM(K123:K127)</f>
        <v>0</v>
      </c>
      <c r="L128" s="179">
        <f t="shared" si="33"/>
        <v>0</v>
      </c>
      <c r="M128" s="66">
        <f t="shared" si="33"/>
        <v>0</v>
      </c>
      <c r="N128" s="66">
        <f t="shared" si="33"/>
        <v>756592</v>
      </c>
      <c r="O128" s="66">
        <f t="shared" si="33"/>
        <v>677044</v>
      </c>
      <c r="P128" s="66">
        <f t="shared" si="33"/>
        <v>597495</v>
      </c>
      <c r="Q128" s="66">
        <f t="shared" si="33"/>
        <v>517947</v>
      </c>
      <c r="R128" s="66">
        <f t="shared" si="33"/>
        <v>438398</v>
      </c>
      <c r="S128" s="66">
        <f t="shared" si="33"/>
        <v>358849</v>
      </c>
      <c r="T128" s="66">
        <f t="shared" si="33"/>
        <v>279301</v>
      </c>
      <c r="U128" s="66">
        <f t="shared" si="33"/>
        <v>199752</v>
      </c>
      <c r="V128" s="66">
        <f t="shared" si="33"/>
        <v>120204</v>
      </c>
      <c r="W128" s="66">
        <f t="shared" si="33"/>
        <v>6427</v>
      </c>
      <c r="X128" s="84">
        <f t="shared" si="33"/>
        <v>0</v>
      </c>
      <c r="Y128" s="133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7.25" customHeight="1">
      <c r="A129" s="180" t="s">
        <v>38</v>
      </c>
      <c r="B129" s="519" t="s">
        <v>22</v>
      </c>
      <c r="C129" s="519"/>
      <c r="D129" s="519"/>
      <c r="E129" s="519"/>
      <c r="F129" s="247">
        <f>F130</f>
        <v>6383701</v>
      </c>
      <c r="G129" s="180" t="s">
        <v>11</v>
      </c>
      <c r="H129" s="180" t="s">
        <v>11</v>
      </c>
      <c r="I129" s="180" t="s">
        <v>11</v>
      </c>
      <c r="J129" s="181">
        <v>0</v>
      </c>
      <c r="K129" s="181">
        <f>K135</f>
        <v>0</v>
      </c>
      <c r="L129" s="181">
        <f t="shared" ref="L129:W129" si="34">L135</f>
        <v>0</v>
      </c>
      <c r="M129" s="182">
        <f>M135</f>
        <v>0</v>
      </c>
      <c r="N129" s="182">
        <f t="shared" si="34"/>
        <v>580337</v>
      </c>
      <c r="O129" s="182">
        <f t="shared" si="34"/>
        <v>580337</v>
      </c>
      <c r="P129" s="182">
        <f t="shared" si="34"/>
        <v>580337</v>
      </c>
      <c r="Q129" s="182">
        <f t="shared" si="34"/>
        <v>580337</v>
      </c>
      <c r="R129" s="182">
        <f t="shared" si="34"/>
        <v>580337</v>
      </c>
      <c r="S129" s="182">
        <f t="shared" si="34"/>
        <v>580337</v>
      </c>
      <c r="T129" s="182">
        <f t="shared" si="34"/>
        <v>580337</v>
      </c>
      <c r="U129" s="182">
        <f t="shared" si="34"/>
        <v>580337</v>
      </c>
      <c r="V129" s="182">
        <f t="shared" si="34"/>
        <v>580337</v>
      </c>
      <c r="W129" s="182">
        <f t="shared" si="34"/>
        <v>48362</v>
      </c>
      <c r="X129" s="483">
        <f>SUM(L135:W135)</f>
        <v>5271395</v>
      </c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6.75" hidden="1" customHeight="1">
      <c r="A130" s="481">
        <v>1</v>
      </c>
      <c r="B130" s="482" t="s">
        <v>63</v>
      </c>
      <c r="C130" s="451">
        <v>2020</v>
      </c>
      <c r="D130" s="371">
        <v>2034</v>
      </c>
      <c r="E130" s="360" t="s">
        <v>258</v>
      </c>
      <c r="F130" s="483">
        <f>531969+X129+580337</f>
        <v>6383701</v>
      </c>
      <c r="G130" s="385">
        <v>90015</v>
      </c>
      <c r="H130" s="165"/>
      <c r="I130" s="183" t="s">
        <v>28</v>
      </c>
      <c r="J130" s="184"/>
      <c r="K130" s="184"/>
      <c r="L130" s="185"/>
      <c r="M130" s="157"/>
      <c r="N130" s="157"/>
      <c r="O130" s="186"/>
      <c r="P130" s="186"/>
      <c r="Q130" s="186"/>
      <c r="R130" s="187"/>
      <c r="S130" s="187"/>
      <c r="T130" s="187"/>
      <c r="U130" s="187"/>
      <c r="V130" s="187"/>
      <c r="W130" s="187"/>
      <c r="X130" s="483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481"/>
      <c r="B131" s="482"/>
      <c r="C131" s="451"/>
      <c r="D131" s="371"/>
      <c r="E131" s="360"/>
      <c r="F131" s="483"/>
      <c r="G131" s="385"/>
      <c r="H131" s="165">
        <v>6050</v>
      </c>
      <c r="I131" s="183" t="s">
        <v>28</v>
      </c>
      <c r="J131" s="164">
        <v>577801</v>
      </c>
      <c r="K131" s="184">
        <v>0</v>
      </c>
      <c r="L131" s="188"/>
      <c r="M131" s="156"/>
      <c r="N131" s="156">
        <v>580337</v>
      </c>
      <c r="O131" s="156">
        <v>580337</v>
      </c>
      <c r="P131" s="156">
        <v>580337</v>
      </c>
      <c r="Q131" s="156">
        <v>580337</v>
      </c>
      <c r="R131" s="156">
        <v>580337</v>
      </c>
      <c r="S131" s="156">
        <v>580337</v>
      </c>
      <c r="T131" s="156">
        <v>580337</v>
      </c>
      <c r="U131" s="156">
        <v>580337</v>
      </c>
      <c r="V131" s="156">
        <v>580337</v>
      </c>
      <c r="W131" s="156">
        <v>48362</v>
      </c>
      <c r="X131" s="483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481"/>
      <c r="B132" s="482"/>
      <c r="C132" s="451"/>
      <c r="D132" s="371"/>
      <c r="E132" s="360"/>
      <c r="F132" s="483"/>
      <c r="G132" s="385"/>
      <c r="H132" s="165"/>
      <c r="I132" s="183" t="s">
        <v>31</v>
      </c>
      <c r="J132" s="184"/>
      <c r="K132" s="184"/>
      <c r="L132" s="185"/>
      <c r="M132" s="187"/>
      <c r="N132" s="186"/>
      <c r="O132" s="186"/>
      <c r="P132" s="186"/>
      <c r="Q132" s="186"/>
      <c r="R132" s="187"/>
      <c r="S132" s="187"/>
      <c r="T132" s="187"/>
      <c r="U132" s="187"/>
      <c r="V132" s="187"/>
      <c r="W132" s="187"/>
      <c r="X132" s="483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2" customHeight="1">
      <c r="A133" s="481"/>
      <c r="B133" s="482"/>
      <c r="C133" s="451"/>
      <c r="D133" s="371"/>
      <c r="E133" s="360"/>
      <c r="F133" s="483"/>
      <c r="G133" s="385"/>
      <c r="H133" s="165"/>
      <c r="I133" s="183" t="s">
        <v>30</v>
      </c>
      <c r="J133" s="164">
        <v>2637562</v>
      </c>
      <c r="K133" s="184"/>
      <c r="L133" s="185"/>
      <c r="M133" s="187"/>
      <c r="N133" s="186"/>
      <c r="O133" s="186"/>
      <c r="P133" s="186"/>
      <c r="Q133" s="186"/>
      <c r="R133" s="186"/>
      <c r="S133" s="187"/>
      <c r="T133" s="187"/>
      <c r="U133" s="187"/>
      <c r="V133" s="187"/>
      <c r="W133" s="187"/>
      <c r="X133" s="483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2" customHeight="1">
      <c r="A134" s="481"/>
      <c r="B134" s="482"/>
      <c r="C134" s="451"/>
      <c r="D134" s="371"/>
      <c r="E134" s="360"/>
      <c r="F134" s="483"/>
      <c r="G134" s="385"/>
      <c r="H134" s="170"/>
      <c r="I134" s="155" t="s">
        <v>33</v>
      </c>
      <c r="J134" s="189"/>
      <c r="K134" s="190"/>
      <c r="L134" s="185"/>
      <c r="M134" s="187"/>
      <c r="N134" s="186"/>
      <c r="O134" s="186"/>
      <c r="P134" s="186"/>
      <c r="Q134" s="186"/>
      <c r="R134" s="186"/>
      <c r="S134" s="187"/>
      <c r="T134" s="187"/>
      <c r="U134" s="187"/>
      <c r="V134" s="187"/>
      <c r="W134" s="187"/>
      <c r="X134" s="483"/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45" customHeight="1">
      <c r="A135" s="481"/>
      <c r="B135" s="482"/>
      <c r="C135" s="451"/>
      <c r="D135" s="371"/>
      <c r="E135" s="360"/>
      <c r="F135" s="483"/>
      <c r="G135" s="385"/>
      <c r="H135" s="154"/>
      <c r="I135" s="191" t="s">
        <v>26</v>
      </c>
      <c r="J135" s="161">
        <f>SUM(J130:J134)</f>
        <v>3215363</v>
      </c>
      <c r="K135" s="161">
        <f t="shared" ref="K135:L135" si="35">SUM(K130:K134)</f>
        <v>0</v>
      </c>
      <c r="L135" s="192">
        <f t="shared" si="35"/>
        <v>0</v>
      </c>
      <c r="M135" s="162">
        <f>M131</f>
        <v>0</v>
      </c>
      <c r="N135" s="162">
        <f t="shared" ref="N135:W135" si="36">N131</f>
        <v>580337</v>
      </c>
      <c r="O135" s="162">
        <f t="shared" si="36"/>
        <v>580337</v>
      </c>
      <c r="P135" s="162">
        <f t="shared" si="36"/>
        <v>580337</v>
      </c>
      <c r="Q135" s="162">
        <f t="shared" si="36"/>
        <v>580337</v>
      </c>
      <c r="R135" s="162">
        <f t="shared" si="36"/>
        <v>580337</v>
      </c>
      <c r="S135" s="162">
        <f t="shared" si="36"/>
        <v>580337</v>
      </c>
      <c r="T135" s="162">
        <f t="shared" si="36"/>
        <v>580337</v>
      </c>
      <c r="U135" s="162">
        <f t="shared" si="36"/>
        <v>580337</v>
      </c>
      <c r="V135" s="162">
        <f t="shared" si="36"/>
        <v>580337</v>
      </c>
      <c r="W135" s="162">
        <f t="shared" si="36"/>
        <v>48362</v>
      </c>
      <c r="X135" s="483"/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9.5" customHeight="1">
      <c r="A136" s="68" t="s">
        <v>39</v>
      </c>
      <c r="B136" s="520" t="s">
        <v>68</v>
      </c>
      <c r="C136" s="520"/>
      <c r="D136" s="520"/>
      <c r="E136" s="520"/>
      <c r="F136" s="233">
        <f>F137+F168</f>
        <v>152990712.72</v>
      </c>
      <c r="G136" s="234" t="s">
        <v>11</v>
      </c>
      <c r="H136" s="234" t="s">
        <v>11</v>
      </c>
      <c r="I136" s="234" t="s">
        <v>11</v>
      </c>
      <c r="J136" s="233" t="e">
        <f t="shared" ref="J136:T136" si="37">J137+J168</f>
        <v>#REF!</v>
      </c>
      <c r="K136" s="233" t="e">
        <f t="shared" si="37"/>
        <v>#REF!</v>
      </c>
      <c r="L136" s="233">
        <f>L137+L168</f>
        <v>0</v>
      </c>
      <c r="M136" s="233">
        <f t="shared" si="37"/>
        <v>0</v>
      </c>
      <c r="N136" s="340">
        <f t="shared" si="37"/>
        <v>32164011.359999999</v>
      </c>
      <c r="O136" s="233">
        <f t="shared" si="37"/>
        <v>9404052</v>
      </c>
      <c r="P136" s="233">
        <f t="shared" si="37"/>
        <v>12075791</v>
      </c>
      <c r="Q136" s="233">
        <f t="shared" si="37"/>
        <v>11165441</v>
      </c>
      <c r="R136" s="233">
        <f t="shared" si="37"/>
        <v>11671263</v>
      </c>
      <c r="S136" s="233">
        <f t="shared" si="37"/>
        <v>8835000</v>
      </c>
      <c r="T136" s="233">
        <f t="shared" si="37"/>
        <v>7330000</v>
      </c>
      <c r="U136" s="233">
        <f>U137+U168</f>
        <v>5255000</v>
      </c>
      <c r="V136" s="233">
        <f>V137+V168</f>
        <v>3240000</v>
      </c>
      <c r="W136" s="233">
        <f>W137+W168</f>
        <v>170000</v>
      </c>
      <c r="X136" s="233">
        <f>X137+X168</f>
        <v>101310558.36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17.25" customHeight="1">
      <c r="A137" s="56" t="s">
        <v>40</v>
      </c>
      <c r="B137" s="484" t="s">
        <v>20</v>
      </c>
      <c r="C137" s="484"/>
      <c r="D137" s="484"/>
      <c r="E137" s="484"/>
      <c r="F137" s="57">
        <f>SUM(F138:F162)</f>
        <v>23660</v>
      </c>
      <c r="G137" s="56" t="s">
        <v>11</v>
      </c>
      <c r="H137" s="56" t="s">
        <v>11</v>
      </c>
      <c r="I137" s="56" t="s">
        <v>11</v>
      </c>
      <c r="J137" s="226" t="e">
        <f>J147+J157+J162+#REF!</f>
        <v>#REF!</v>
      </c>
      <c r="K137" s="235" t="e">
        <f>K147+K162+#REF!</f>
        <v>#REF!</v>
      </c>
      <c r="L137" s="235">
        <f t="shared" ref="L137:W137" si="38">L142</f>
        <v>0</v>
      </c>
      <c r="M137" s="235">
        <f>M142+M162</f>
        <v>0</v>
      </c>
      <c r="N137" s="339">
        <f t="shared" ref="N137:O137" si="39">N142+N162</f>
        <v>12540.36</v>
      </c>
      <c r="O137" s="235">
        <f t="shared" si="39"/>
        <v>2760</v>
      </c>
      <c r="P137" s="235">
        <f t="shared" si="38"/>
        <v>0</v>
      </c>
      <c r="Q137" s="235">
        <f t="shared" si="38"/>
        <v>0</v>
      </c>
      <c r="R137" s="235">
        <f t="shared" si="38"/>
        <v>0</v>
      </c>
      <c r="S137" s="235">
        <f t="shared" si="38"/>
        <v>0</v>
      </c>
      <c r="T137" s="235">
        <f t="shared" si="38"/>
        <v>0</v>
      </c>
      <c r="U137" s="235">
        <f t="shared" si="38"/>
        <v>0</v>
      </c>
      <c r="V137" s="235">
        <f t="shared" si="38"/>
        <v>0</v>
      </c>
      <c r="W137" s="235">
        <f t="shared" si="38"/>
        <v>0</v>
      </c>
      <c r="X137" s="235">
        <f>X138+X158</f>
        <v>15300.36</v>
      </c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51">
        <v>1</v>
      </c>
      <c r="B138" s="476" t="s">
        <v>252</v>
      </c>
      <c r="C138" s="355">
        <v>2024</v>
      </c>
      <c r="D138" s="355">
        <v>2025</v>
      </c>
      <c r="E138" s="480" t="s">
        <v>179</v>
      </c>
      <c r="F138" s="465">
        <f>X138+4909.64</f>
        <v>14000</v>
      </c>
      <c r="G138" s="354">
        <v>80195</v>
      </c>
      <c r="H138" s="88"/>
      <c r="I138" s="210" t="s">
        <v>28</v>
      </c>
      <c r="J138" s="173"/>
      <c r="K138" s="173"/>
      <c r="L138" s="225"/>
      <c r="M138" s="225"/>
      <c r="N138" s="225"/>
      <c r="O138" s="177"/>
      <c r="P138" s="177"/>
      <c r="Q138" s="177"/>
      <c r="R138" s="177"/>
      <c r="S138" s="177"/>
      <c r="T138" s="177"/>
      <c r="U138" s="177"/>
      <c r="V138" s="177"/>
      <c r="W138" s="177"/>
      <c r="X138" s="465">
        <f>SUM(L142:P142)</f>
        <v>9090.36</v>
      </c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9" customHeight="1">
      <c r="A139" s="351"/>
      <c r="B139" s="482"/>
      <c r="C139" s="355"/>
      <c r="D139" s="355"/>
      <c r="E139" s="480"/>
      <c r="F139" s="465"/>
      <c r="G139" s="354"/>
      <c r="H139" s="86"/>
      <c r="I139" s="58" t="s">
        <v>31</v>
      </c>
      <c r="J139" s="87"/>
      <c r="K139" s="173"/>
      <c r="L139" s="173"/>
      <c r="M139" s="173"/>
      <c r="N139" s="225"/>
      <c r="O139" s="177"/>
      <c r="P139" s="177"/>
      <c r="Q139" s="177"/>
      <c r="R139" s="177"/>
      <c r="S139" s="177"/>
      <c r="T139" s="177"/>
      <c r="U139" s="177"/>
      <c r="V139" s="177"/>
      <c r="W139" s="177"/>
      <c r="X139" s="465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1.25" customHeight="1">
      <c r="A140" s="351"/>
      <c r="B140" s="482"/>
      <c r="C140" s="355"/>
      <c r="D140" s="355"/>
      <c r="E140" s="480"/>
      <c r="F140" s="465"/>
      <c r="G140" s="354"/>
      <c r="H140" s="86"/>
      <c r="I140" s="67" t="s">
        <v>30</v>
      </c>
      <c r="J140" s="87">
        <v>246103</v>
      </c>
      <c r="K140" s="173">
        <v>326859</v>
      </c>
      <c r="L140" s="173"/>
      <c r="M140" s="173"/>
      <c r="N140" s="173"/>
      <c r="O140" s="177"/>
      <c r="P140" s="177"/>
      <c r="Q140" s="177"/>
      <c r="R140" s="177"/>
      <c r="S140" s="177"/>
      <c r="T140" s="177"/>
      <c r="U140" s="177"/>
      <c r="V140" s="177"/>
      <c r="W140" s="177"/>
      <c r="X140" s="465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1.25" customHeight="1">
      <c r="A141" s="351"/>
      <c r="B141" s="482"/>
      <c r="C141" s="355"/>
      <c r="D141" s="355"/>
      <c r="E141" s="480"/>
      <c r="F141" s="465"/>
      <c r="G141" s="354"/>
      <c r="H141" s="89"/>
      <c r="I141" s="60" t="s">
        <v>33</v>
      </c>
      <c r="J141" s="226"/>
      <c r="K141" s="227"/>
      <c r="L141" s="173"/>
      <c r="M141" s="173"/>
      <c r="N141" s="173">
        <v>9090.36</v>
      </c>
      <c r="O141" s="177"/>
      <c r="P141" s="177"/>
      <c r="Q141" s="177"/>
      <c r="R141" s="177"/>
      <c r="S141" s="177"/>
      <c r="T141" s="177"/>
      <c r="U141" s="177"/>
      <c r="V141" s="177"/>
      <c r="W141" s="177"/>
      <c r="X141" s="465"/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2" customHeight="1">
      <c r="A142" s="351"/>
      <c r="B142" s="482"/>
      <c r="C142" s="355"/>
      <c r="D142" s="355"/>
      <c r="E142" s="480"/>
      <c r="F142" s="465"/>
      <c r="G142" s="354"/>
      <c r="H142" s="88"/>
      <c r="I142" s="59" t="s">
        <v>26</v>
      </c>
      <c r="J142" s="65">
        <f t="shared" ref="J142:P142" si="40">SUM(J138:J141)</f>
        <v>246103</v>
      </c>
      <c r="K142" s="228">
        <f t="shared" si="40"/>
        <v>326859</v>
      </c>
      <c r="L142" s="179">
        <f t="shared" si="40"/>
        <v>0</v>
      </c>
      <c r="M142" s="179">
        <f t="shared" si="40"/>
        <v>0</v>
      </c>
      <c r="N142" s="179">
        <f t="shared" si="40"/>
        <v>9090.36</v>
      </c>
      <c r="O142" s="179">
        <f t="shared" si="40"/>
        <v>0</v>
      </c>
      <c r="P142" s="179">
        <f t="shared" si="40"/>
        <v>0</v>
      </c>
      <c r="Q142" s="179"/>
      <c r="R142" s="179"/>
      <c r="S142" s="179"/>
      <c r="T142" s="179"/>
      <c r="U142" s="179"/>
      <c r="V142" s="179"/>
      <c r="W142" s="179"/>
      <c r="X142" s="465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5" hidden="1" customHeight="1">
      <c r="A143" s="359">
        <v>1</v>
      </c>
      <c r="B143" s="380" t="s">
        <v>127</v>
      </c>
      <c r="C143" s="428">
        <v>2017</v>
      </c>
      <c r="D143" s="428">
        <v>2021</v>
      </c>
      <c r="E143" s="467" t="s">
        <v>27</v>
      </c>
      <c r="F143" s="413">
        <v>0</v>
      </c>
      <c r="G143" s="542" t="s">
        <v>42</v>
      </c>
      <c r="H143" s="104">
        <v>4300</v>
      </c>
      <c r="I143" s="105" t="s">
        <v>34</v>
      </c>
      <c r="J143" s="106">
        <v>4670</v>
      </c>
      <c r="K143" s="106">
        <v>4670</v>
      </c>
      <c r="L143" s="106"/>
      <c r="M143" s="135">
        <v>0</v>
      </c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466">
        <f t="shared" ref="X143" si="41">SUM(L147:P147)</f>
        <v>0</v>
      </c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5" hidden="1" customHeight="1">
      <c r="A144" s="359"/>
      <c r="B144" s="380"/>
      <c r="C144" s="428"/>
      <c r="D144" s="428"/>
      <c r="E144" s="467"/>
      <c r="F144" s="413"/>
      <c r="G144" s="542"/>
      <c r="H144" s="104"/>
      <c r="I144" s="105" t="s">
        <v>31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466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4.25" hidden="1" customHeight="1">
      <c r="A145" s="359"/>
      <c r="B145" s="380"/>
      <c r="C145" s="428"/>
      <c r="D145" s="428"/>
      <c r="E145" s="467"/>
      <c r="F145" s="413"/>
      <c r="G145" s="542"/>
      <c r="H145" s="104"/>
      <c r="I145" s="105" t="s">
        <v>30</v>
      </c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466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3.5" hidden="1" customHeight="1">
      <c r="A146" s="359"/>
      <c r="B146" s="380"/>
      <c r="C146" s="428"/>
      <c r="D146" s="428"/>
      <c r="E146" s="467"/>
      <c r="F146" s="413"/>
      <c r="G146" s="542"/>
      <c r="H146" s="104"/>
      <c r="I146" s="105" t="s">
        <v>33</v>
      </c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466"/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1.25" hidden="1" customHeight="1">
      <c r="A147" s="359"/>
      <c r="B147" s="380"/>
      <c r="C147" s="428"/>
      <c r="D147" s="428"/>
      <c r="E147" s="467"/>
      <c r="F147" s="413"/>
      <c r="G147" s="542"/>
      <c r="H147" s="104"/>
      <c r="I147" s="108" t="s">
        <v>26</v>
      </c>
      <c r="J147" s="109">
        <f>SUM(J143:J146)</f>
        <v>4670</v>
      </c>
      <c r="K147" s="109">
        <f>SUM(K143:K146)</f>
        <v>4670</v>
      </c>
      <c r="L147" s="109">
        <f>SUM(L143:L146)</f>
        <v>0</v>
      </c>
      <c r="M147" s="109">
        <f>SUM(M143:M146)</f>
        <v>0</v>
      </c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466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6.5" hidden="1" customHeight="1">
      <c r="A148" s="351">
        <v>3</v>
      </c>
      <c r="B148" s="380" t="s">
        <v>92</v>
      </c>
      <c r="C148" s="428">
        <v>2007</v>
      </c>
      <c r="D148" s="428">
        <v>2025</v>
      </c>
      <c r="E148" s="467" t="s">
        <v>27</v>
      </c>
      <c r="F148" s="413">
        <v>0</v>
      </c>
      <c r="G148" s="418">
        <v>60004</v>
      </c>
      <c r="H148" s="104">
        <v>2310</v>
      </c>
      <c r="I148" s="105" t="s">
        <v>28</v>
      </c>
      <c r="J148" s="106">
        <v>0</v>
      </c>
      <c r="K148" s="106">
        <v>0</v>
      </c>
      <c r="L148" s="106">
        <v>0</v>
      </c>
      <c r="M148" s="106">
        <v>0</v>
      </c>
      <c r="N148" s="106">
        <v>0</v>
      </c>
      <c r="O148" s="106">
        <v>0</v>
      </c>
      <c r="P148" s="106">
        <v>0</v>
      </c>
      <c r="Q148" s="106"/>
      <c r="R148" s="106"/>
      <c r="S148" s="106"/>
      <c r="T148" s="106"/>
      <c r="U148" s="106"/>
      <c r="V148" s="106"/>
      <c r="W148" s="106"/>
      <c r="X148" s="466">
        <f t="shared" ref="X148" si="42">SUM(L152:P152)</f>
        <v>0</v>
      </c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5.75" hidden="1" customHeight="1">
      <c r="A149" s="351"/>
      <c r="B149" s="380"/>
      <c r="C149" s="428"/>
      <c r="D149" s="428"/>
      <c r="E149" s="467"/>
      <c r="F149" s="413"/>
      <c r="G149" s="418"/>
      <c r="H149" s="104"/>
      <c r="I149" s="105" t="s">
        <v>31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466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5.75" hidden="1" customHeight="1">
      <c r="A150" s="351"/>
      <c r="B150" s="380"/>
      <c r="C150" s="428"/>
      <c r="D150" s="428"/>
      <c r="E150" s="467"/>
      <c r="F150" s="413"/>
      <c r="G150" s="418"/>
      <c r="H150" s="104"/>
      <c r="I150" s="105" t="s">
        <v>30</v>
      </c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466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2.75" hidden="1" customHeight="1">
      <c r="A151" s="351"/>
      <c r="B151" s="380"/>
      <c r="C151" s="428"/>
      <c r="D151" s="428"/>
      <c r="E151" s="467"/>
      <c r="F151" s="413"/>
      <c r="G151" s="418"/>
      <c r="H151" s="104"/>
      <c r="I151" s="105" t="s">
        <v>33</v>
      </c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466"/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7.25" hidden="1" customHeight="1">
      <c r="A152" s="351"/>
      <c r="B152" s="380"/>
      <c r="C152" s="428"/>
      <c r="D152" s="428"/>
      <c r="E152" s="467"/>
      <c r="F152" s="413"/>
      <c r="G152" s="418"/>
      <c r="H152" s="104"/>
      <c r="I152" s="108" t="s">
        <v>26</v>
      </c>
      <c r="J152" s="109">
        <f t="shared" ref="J152:O152" si="43">SUM(J148:J151)</f>
        <v>0</v>
      </c>
      <c r="K152" s="109">
        <f t="shared" si="43"/>
        <v>0</v>
      </c>
      <c r="L152" s="109">
        <f t="shared" si="43"/>
        <v>0</v>
      </c>
      <c r="M152" s="109">
        <f t="shared" si="43"/>
        <v>0</v>
      </c>
      <c r="N152" s="109">
        <f t="shared" si="43"/>
        <v>0</v>
      </c>
      <c r="O152" s="109">
        <f t="shared" si="43"/>
        <v>0</v>
      </c>
      <c r="P152" s="109">
        <v>0</v>
      </c>
      <c r="Q152" s="109"/>
      <c r="R152" s="109"/>
      <c r="S152" s="109"/>
      <c r="T152" s="109"/>
      <c r="U152" s="109"/>
      <c r="V152" s="109"/>
      <c r="W152" s="109"/>
      <c r="X152" s="466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51">
        <v>2</v>
      </c>
      <c r="B153" s="380" t="s">
        <v>100</v>
      </c>
      <c r="C153" s="428">
        <v>2019</v>
      </c>
      <c r="D153" s="428">
        <v>2020</v>
      </c>
      <c r="E153" s="467" t="s">
        <v>27</v>
      </c>
      <c r="F153" s="413"/>
      <c r="G153" s="418">
        <v>71012</v>
      </c>
      <c r="H153" s="104">
        <v>4300</v>
      </c>
      <c r="I153" s="105" t="s">
        <v>28</v>
      </c>
      <c r="J153" s="106">
        <v>100000</v>
      </c>
      <c r="K153" s="106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466">
        <f t="shared" ref="X153" si="44">SUM(L157:P157)</f>
        <v>0</v>
      </c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51"/>
      <c r="B154" s="380"/>
      <c r="C154" s="428"/>
      <c r="D154" s="428"/>
      <c r="E154" s="467"/>
      <c r="F154" s="413"/>
      <c r="G154" s="418"/>
      <c r="H154" s="104"/>
      <c r="I154" s="105" t="s">
        <v>31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466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14.25" hidden="1" customHeight="1">
      <c r="A155" s="351"/>
      <c r="B155" s="380"/>
      <c r="C155" s="428"/>
      <c r="D155" s="428"/>
      <c r="E155" s="467"/>
      <c r="F155" s="413"/>
      <c r="G155" s="418"/>
      <c r="H155" s="104"/>
      <c r="I155" s="105" t="s">
        <v>30</v>
      </c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466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4.25" hidden="1" customHeight="1">
      <c r="A156" s="351"/>
      <c r="B156" s="380"/>
      <c r="C156" s="428"/>
      <c r="D156" s="428"/>
      <c r="E156" s="467"/>
      <c r="F156" s="413"/>
      <c r="G156" s="418"/>
      <c r="H156" s="104"/>
      <c r="I156" s="105" t="s">
        <v>33</v>
      </c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466"/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0.75" customHeight="1">
      <c r="A157" s="351"/>
      <c r="B157" s="380"/>
      <c r="C157" s="428"/>
      <c r="D157" s="428"/>
      <c r="E157" s="467"/>
      <c r="F157" s="413"/>
      <c r="G157" s="418"/>
      <c r="H157" s="104"/>
      <c r="I157" s="108" t="s">
        <v>26</v>
      </c>
      <c r="J157" s="109">
        <f t="shared" ref="J157:P157" si="45">SUM(J153:J156)</f>
        <v>100000</v>
      </c>
      <c r="K157" s="109">
        <f t="shared" si="45"/>
        <v>0</v>
      </c>
      <c r="L157" s="109">
        <f t="shared" si="45"/>
        <v>0</v>
      </c>
      <c r="M157" s="109">
        <f t="shared" si="45"/>
        <v>0</v>
      </c>
      <c r="N157" s="109">
        <f t="shared" si="45"/>
        <v>0</v>
      </c>
      <c r="O157" s="109">
        <f t="shared" si="45"/>
        <v>0</v>
      </c>
      <c r="P157" s="109">
        <f t="shared" si="45"/>
        <v>0</v>
      </c>
      <c r="Q157" s="109"/>
      <c r="R157" s="109"/>
      <c r="S157" s="109"/>
      <c r="T157" s="109"/>
      <c r="U157" s="109"/>
      <c r="V157" s="109"/>
      <c r="W157" s="109"/>
      <c r="X157" s="466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51">
        <v>2</v>
      </c>
      <c r="B158" s="377" t="s">
        <v>253</v>
      </c>
      <c r="C158" s="397">
        <v>2024</v>
      </c>
      <c r="D158" s="397">
        <v>2026</v>
      </c>
      <c r="E158" s="360" t="s">
        <v>258</v>
      </c>
      <c r="F158" s="389">
        <f>X158+3450</f>
        <v>9660</v>
      </c>
      <c r="G158" s="439">
        <v>75023</v>
      </c>
      <c r="H158" s="86">
        <v>4300</v>
      </c>
      <c r="I158" s="210" t="s">
        <v>249</v>
      </c>
      <c r="J158" s="258">
        <v>88050</v>
      </c>
      <c r="K158" s="258">
        <v>88050</v>
      </c>
      <c r="L158" s="261"/>
      <c r="M158" s="258"/>
      <c r="N158" s="258">
        <v>3450</v>
      </c>
      <c r="O158" s="258">
        <v>2760</v>
      </c>
      <c r="P158" s="258"/>
      <c r="Q158" s="258"/>
      <c r="R158" s="258"/>
      <c r="S158" s="258"/>
      <c r="T158" s="258"/>
      <c r="U158" s="258"/>
      <c r="V158" s="258"/>
      <c r="W158" s="258"/>
      <c r="X158" s="465">
        <f t="shared" ref="X158" si="46">SUM(L162:P162)</f>
        <v>6210</v>
      </c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5" customHeight="1">
      <c r="A159" s="351"/>
      <c r="B159" s="377"/>
      <c r="C159" s="397"/>
      <c r="D159" s="397"/>
      <c r="E159" s="360"/>
      <c r="F159" s="389"/>
      <c r="G159" s="439"/>
      <c r="H159" s="86"/>
      <c r="I159" s="210" t="s">
        <v>31</v>
      </c>
      <c r="J159" s="259"/>
      <c r="K159" s="259"/>
      <c r="L159" s="259"/>
      <c r="M159" s="259"/>
      <c r="N159" s="259"/>
      <c r="O159" s="259"/>
      <c r="P159" s="259"/>
      <c r="Q159" s="259"/>
      <c r="R159" s="259"/>
      <c r="S159" s="259"/>
      <c r="T159" s="259"/>
      <c r="U159" s="259"/>
      <c r="V159" s="259"/>
      <c r="W159" s="259"/>
      <c r="X159" s="465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5" customHeight="1">
      <c r="A160" s="351"/>
      <c r="B160" s="377"/>
      <c r="C160" s="397"/>
      <c r="D160" s="397"/>
      <c r="E160" s="360"/>
      <c r="F160" s="389"/>
      <c r="G160" s="439"/>
      <c r="H160" s="86"/>
      <c r="I160" s="210" t="s">
        <v>30</v>
      </c>
      <c r="J160" s="259"/>
      <c r="K160" s="259"/>
      <c r="L160" s="259"/>
      <c r="M160" s="259"/>
      <c r="N160" s="259"/>
      <c r="O160" s="259"/>
      <c r="P160" s="259"/>
      <c r="Q160" s="259"/>
      <c r="R160" s="259"/>
      <c r="S160" s="259"/>
      <c r="T160" s="259"/>
      <c r="U160" s="259"/>
      <c r="V160" s="259"/>
      <c r="W160" s="259"/>
      <c r="X160" s="465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6.5" customHeight="1">
      <c r="A161" s="351"/>
      <c r="B161" s="377"/>
      <c r="C161" s="397"/>
      <c r="D161" s="397"/>
      <c r="E161" s="360"/>
      <c r="F161" s="389"/>
      <c r="G161" s="439"/>
      <c r="H161" s="86"/>
      <c r="I161" s="210" t="s">
        <v>33</v>
      </c>
      <c r="J161" s="259"/>
      <c r="K161" s="259"/>
      <c r="L161" s="259"/>
      <c r="M161" s="259"/>
      <c r="N161" s="259"/>
      <c r="O161" s="259"/>
      <c r="P161" s="259"/>
      <c r="Q161" s="259"/>
      <c r="R161" s="259"/>
      <c r="S161" s="259"/>
      <c r="T161" s="259"/>
      <c r="U161" s="259"/>
      <c r="V161" s="259"/>
      <c r="W161" s="259"/>
      <c r="X161" s="465"/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2" customHeight="1">
      <c r="A162" s="351"/>
      <c r="B162" s="377"/>
      <c r="C162" s="397"/>
      <c r="D162" s="397"/>
      <c r="E162" s="360"/>
      <c r="F162" s="389"/>
      <c r="G162" s="439"/>
      <c r="H162" s="86"/>
      <c r="I162" s="59" t="s">
        <v>26</v>
      </c>
      <c r="J162" s="260">
        <f t="shared" ref="J162:Q162" si="47">SUM(J158:J161)</f>
        <v>88050</v>
      </c>
      <c r="K162" s="260">
        <f t="shared" si="47"/>
        <v>88050</v>
      </c>
      <c r="L162" s="260">
        <f t="shared" si="47"/>
        <v>0</v>
      </c>
      <c r="M162" s="260">
        <f t="shared" si="47"/>
        <v>0</v>
      </c>
      <c r="N162" s="260">
        <f t="shared" si="47"/>
        <v>3450</v>
      </c>
      <c r="O162" s="260">
        <f t="shared" si="47"/>
        <v>2760</v>
      </c>
      <c r="P162" s="260">
        <f t="shared" si="47"/>
        <v>0</v>
      </c>
      <c r="Q162" s="260">
        <f t="shared" si="47"/>
        <v>0</v>
      </c>
      <c r="R162" s="260"/>
      <c r="S162" s="260"/>
      <c r="T162" s="260"/>
      <c r="U162" s="260"/>
      <c r="V162" s="260"/>
      <c r="W162" s="260"/>
      <c r="X162" s="465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51">
        <v>6</v>
      </c>
      <c r="B163" s="380" t="s">
        <v>93</v>
      </c>
      <c r="C163" s="428">
        <v>2014</v>
      </c>
      <c r="D163" s="428">
        <v>2019</v>
      </c>
      <c r="E163" s="467" t="s">
        <v>27</v>
      </c>
      <c r="F163" s="413">
        <v>0</v>
      </c>
      <c r="G163" s="418">
        <v>90002</v>
      </c>
      <c r="H163" s="104">
        <v>4300</v>
      </c>
      <c r="I163" s="105" t="s">
        <v>28</v>
      </c>
      <c r="J163" s="106">
        <v>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/>
      <c r="Q163" s="106"/>
      <c r="R163" s="106"/>
      <c r="S163" s="106"/>
      <c r="T163" s="106"/>
      <c r="U163" s="106"/>
      <c r="V163" s="106"/>
      <c r="W163" s="106"/>
      <c r="X163" s="413">
        <f>SUM(J167:L167)</f>
        <v>0</v>
      </c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5" hidden="1" customHeight="1">
      <c r="A164" s="351"/>
      <c r="B164" s="380"/>
      <c r="C164" s="428"/>
      <c r="D164" s="428"/>
      <c r="E164" s="467"/>
      <c r="F164" s="413"/>
      <c r="G164" s="418"/>
      <c r="H164" s="104"/>
      <c r="I164" s="105" t="s">
        <v>31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13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15" hidden="1" customHeight="1">
      <c r="A165" s="351"/>
      <c r="B165" s="380"/>
      <c r="C165" s="428"/>
      <c r="D165" s="428"/>
      <c r="E165" s="467"/>
      <c r="F165" s="413"/>
      <c r="G165" s="418"/>
      <c r="H165" s="104"/>
      <c r="I165" s="105" t="s">
        <v>30</v>
      </c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413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8.75" hidden="1" customHeight="1">
      <c r="A166" s="351"/>
      <c r="B166" s="380"/>
      <c r="C166" s="428"/>
      <c r="D166" s="428"/>
      <c r="E166" s="467"/>
      <c r="F166" s="413"/>
      <c r="G166" s="418"/>
      <c r="H166" s="104"/>
      <c r="I166" s="105" t="s">
        <v>33</v>
      </c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413"/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3.75" hidden="1" customHeight="1">
      <c r="A167" s="351"/>
      <c r="B167" s="380"/>
      <c r="C167" s="428"/>
      <c r="D167" s="428"/>
      <c r="E167" s="467"/>
      <c r="F167" s="413"/>
      <c r="G167" s="418"/>
      <c r="H167" s="104"/>
      <c r="I167" s="108" t="s">
        <v>26</v>
      </c>
      <c r="J167" s="109">
        <f t="shared" ref="J167:N167" si="48">SUM(J163:J166)</f>
        <v>0</v>
      </c>
      <c r="K167" s="109">
        <f t="shared" si="48"/>
        <v>0</v>
      </c>
      <c r="L167" s="109">
        <f t="shared" si="48"/>
        <v>0</v>
      </c>
      <c r="M167" s="109">
        <f t="shared" si="48"/>
        <v>0</v>
      </c>
      <c r="N167" s="109">
        <f t="shared" si="48"/>
        <v>0</v>
      </c>
      <c r="O167" s="109">
        <v>0</v>
      </c>
      <c r="P167" s="109"/>
      <c r="Q167" s="109"/>
      <c r="R167" s="109"/>
      <c r="S167" s="109"/>
      <c r="T167" s="109"/>
      <c r="U167" s="109"/>
      <c r="V167" s="109"/>
      <c r="W167" s="109"/>
      <c r="X167" s="413"/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7.25" customHeight="1">
      <c r="A168" s="56" t="s">
        <v>43</v>
      </c>
      <c r="B168" s="484" t="s">
        <v>22</v>
      </c>
      <c r="C168" s="484"/>
      <c r="D168" s="484"/>
      <c r="E168" s="484"/>
      <c r="F168" s="297">
        <f>F184+F194+F189+F200+F236+F241+F250+F251+F266+F271+F281+F296+F301+F311+F321+F361+F376+F381+F386+F391+F396+F411+F431+F441+F481+F486+F496+F506+F521+F576+F581+F586+F591+F611+F636+F641+F656+F661+F676+F697+F702+F712+F717+F727+F737+F747+F752+F767+F787+F179+F416+F621+F651+F511+F616+F215+F561+F606+F566+F571+F646+F246+F256+F261+F276+F286+F291+F306+F316+F326+F331+F336+F341+F406+F436+F491+F516+F631+F666+F671+F722+F687+F17031+F556+F692+F626+F205+F501+F772</f>
        <v>152967052.72</v>
      </c>
      <c r="G168" s="56" t="s">
        <v>11</v>
      </c>
      <c r="H168" s="56" t="s">
        <v>11</v>
      </c>
      <c r="I168" s="56" t="s">
        <v>11</v>
      </c>
      <c r="J168" s="57" t="e">
        <f>J173+J178+J183+J188+J193+J199+J204+J219+#REF!+J235+J230+J245+J250+J260+J265+J270+#REF!+J275+J280+J290+J295+J300+J305+J310+J315+J320+J325+J330+J335+J340+J345+J350+J355+J360+J370+J375+#REF!+J400+J405+J410+J415+J420+J425+J430+J435+J580+J585+#REF!+J590+J595+J600+J605+#REF!+J660+J665+#REF!+#REF!+#REF!+J680+J686+J691+J751+J756+J761+J766+J771+J776+J786+J781+J365+J225</f>
        <v>#REF!</v>
      </c>
      <c r="K168" s="57" t="e">
        <f>K173+K178+K183+K188+K193+K199+K204+K219+#REF!+K235+K230+K245+K250+K260+K265+K270+#REF!+K275+K280+K290+K295+K300+K305+K310+K315+K320+K325+K330+K335+K340+K345+K350+K355+K360+K370+K375+#REF!+K400+K405+K410+K415+K420+K425+K430+K435+K580+K585+#REF!+K590+K595+K600+K605+#REF!+K660+K665+#REF!+#REF!+#REF!+K680+K686+K691+K751+K756+K761+K766+K771+K776+K786+K781+K365+K225+K440+#REF!+K701+K706+K711+K716+#REF!</f>
        <v>#REF!</v>
      </c>
      <c r="L168" s="57">
        <f>L173+L178+L183+L188+L193+L199+L204+L219+L235+L230+L245+L250+L260+L265+L270+L275+L280+L290+L295+L300+L305+L310+L315+L320+L325+L330+L335+L340+L345+L350+L355+L360+L370+L375+L400+L405+L410+L415+L420+L425+L430+L435+L445+L450+L455+L460+L465+L470+L475+L485+L530+L535+L560+L615+L625+L635+L675+L721+L726+L791+L580+L585+L590+L595+L600+L605+L660+L665+L680+L686+L691+L751+L756+L761+L766+L771+L776+L786+L781+L365+L225+L440+L701+L706+L711+L716+L640+L731+L655+L209+L380+L480+L490+L495+L500+L505+L510+L540+L545+L550+L555+L645+L736+L515+L520+L525+L746+L214+L240+L630</f>
        <v>0</v>
      </c>
      <c r="M168" s="57">
        <f>M183+M188+M193+M199+M204+M250+M255+M260+M265+M270+M275+M280+M290+M295+M300+M305+M310+M315+M320+M325+M330+M335+M340+M345+M365+M380+M385+M390+M395+M400+M410+M415+M420+M435+M440+M445+M490+M495+M515+M520+M565+M570+M575+M580+M585+M590+M595+M620+M625+M635+M645+M650+M660+M665+M670+M675+M701+M706+M716+M721+M741+M751+M756+M771+M791+M691+M17035+M560+M696</f>
        <v>0</v>
      </c>
      <c r="N168" s="57">
        <f t="shared" ref="N168:W168" si="49">N183+N188+N193+N199+N204+N250+N260+N265+N270+N275+N280+N290+N295+N300+N305+N310+N315+N320+N325+N330+N335+N340+N345+N365+N380+N385+N390+N395+N400+N410+N415+N420+N435+N440+N445+N490+N495+N515+N520+N580+N585+N590+N595+N600+N620+N625+N630+N635+N650+N660+N665+N680+N691+N701+N706+N741+N756+N771+N791+N255+N209+N500+N505+N640+N776</f>
        <v>32151471</v>
      </c>
      <c r="O168" s="57">
        <f t="shared" si="49"/>
        <v>9401292</v>
      </c>
      <c r="P168" s="57">
        <f t="shared" si="49"/>
        <v>12075791</v>
      </c>
      <c r="Q168" s="57">
        <f t="shared" si="49"/>
        <v>11165441</v>
      </c>
      <c r="R168" s="57">
        <f t="shared" si="49"/>
        <v>11671263</v>
      </c>
      <c r="S168" s="57">
        <f t="shared" si="49"/>
        <v>8835000</v>
      </c>
      <c r="T168" s="57">
        <f t="shared" si="49"/>
        <v>7330000</v>
      </c>
      <c r="U168" s="57">
        <f t="shared" si="49"/>
        <v>5255000</v>
      </c>
      <c r="V168" s="57">
        <f t="shared" si="49"/>
        <v>3240000</v>
      </c>
      <c r="W168" s="57">
        <f t="shared" si="49"/>
        <v>170000</v>
      </c>
      <c r="X168" s="57">
        <f>SUM(X174:X791)+X17031</f>
        <v>101295258</v>
      </c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7.25" hidden="1" customHeight="1">
      <c r="A169" s="351" t="s">
        <v>17</v>
      </c>
      <c r="B169" s="540" t="s">
        <v>128</v>
      </c>
      <c r="C169" s="428">
        <v>2009</v>
      </c>
      <c r="D169" s="428">
        <v>2020</v>
      </c>
      <c r="E169" s="467" t="s">
        <v>27</v>
      </c>
      <c r="F169" s="413"/>
      <c r="G169" s="542" t="s">
        <v>41</v>
      </c>
      <c r="H169" s="104">
        <v>6010</v>
      </c>
      <c r="I169" s="105" t="s">
        <v>28</v>
      </c>
      <c r="J169" s="106">
        <v>363200</v>
      </c>
      <c r="K169" s="106"/>
      <c r="L169" s="136"/>
      <c r="M169" s="136">
        <v>0</v>
      </c>
      <c r="N169" s="136">
        <v>0</v>
      </c>
      <c r="O169" s="136">
        <v>0</v>
      </c>
      <c r="P169" s="136"/>
      <c r="Q169" s="136"/>
      <c r="R169" s="136"/>
      <c r="S169" s="136"/>
      <c r="T169" s="136"/>
      <c r="U169" s="136"/>
      <c r="V169" s="136"/>
      <c r="W169" s="136"/>
      <c r="X169" s="413">
        <v>0</v>
      </c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5.75" hidden="1" customHeight="1">
      <c r="A170" s="351"/>
      <c r="B170" s="540"/>
      <c r="C170" s="428"/>
      <c r="D170" s="428"/>
      <c r="E170" s="467"/>
      <c r="F170" s="413"/>
      <c r="G170" s="542"/>
      <c r="H170" s="104"/>
      <c r="I170" s="105" t="s">
        <v>31</v>
      </c>
      <c r="J170" s="106"/>
      <c r="K170" s="10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413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4.25" hidden="1" customHeight="1">
      <c r="A171" s="351"/>
      <c r="B171" s="540"/>
      <c r="C171" s="428"/>
      <c r="D171" s="428"/>
      <c r="E171" s="467"/>
      <c r="F171" s="413"/>
      <c r="G171" s="542"/>
      <c r="H171" s="104"/>
      <c r="I171" s="105" t="s">
        <v>30</v>
      </c>
      <c r="J171" s="106"/>
      <c r="K171" s="10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413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4.25" hidden="1" customHeight="1">
      <c r="A172" s="351"/>
      <c r="B172" s="540"/>
      <c r="C172" s="428"/>
      <c r="D172" s="428"/>
      <c r="E172" s="467"/>
      <c r="F172" s="413"/>
      <c r="G172" s="542"/>
      <c r="H172" s="104"/>
      <c r="I172" s="105" t="s">
        <v>33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413"/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1.25" hidden="1" customHeight="1">
      <c r="A173" s="351"/>
      <c r="B173" s="540"/>
      <c r="C173" s="428"/>
      <c r="D173" s="428"/>
      <c r="E173" s="467"/>
      <c r="F173" s="413"/>
      <c r="G173" s="542"/>
      <c r="H173" s="104"/>
      <c r="I173" s="108" t="s">
        <v>26</v>
      </c>
      <c r="J173" s="109">
        <f t="shared" ref="J173:O173" si="50">J169</f>
        <v>363200</v>
      </c>
      <c r="K173" s="109">
        <f t="shared" si="50"/>
        <v>0</v>
      </c>
      <c r="L173" s="109">
        <f t="shared" si="50"/>
        <v>0</v>
      </c>
      <c r="M173" s="109">
        <f t="shared" si="50"/>
        <v>0</v>
      </c>
      <c r="N173" s="109">
        <f t="shared" si="50"/>
        <v>0</v>
      </c>
      <c r="O173" s="109">
        <f t="shared" si="50"/>
        <v>0</v>
      </c>
      <c r="P173" s="109"/>
      <c r="Q173" s="109"/>
      <c r="R173" s="109"/>
      <c r="S173" s="109"/>
      <c r="T173" s="109"/>
      <c r="U173" s="109"/>
      <c r="V173" s="109"/>
      <c r="W173" s="109"/>
      <c r="X173" s="413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8" hidden="1" customHeight="1">
      <c r="A174" s="351">
        <v>1</v>
      </c>
      <c r="B174" s="470" t="s">
        <v>162</v>
      </c>
      <c r="C174" s="379">
        <v>2011</v>
      </c>
      <c r="D174" s="379">
        <v>2023</v>
      </c>
      <c r="E174" s="469" t="s">
        <v>27</v>
      </c>
      <c r="F174" s="386">
        <f>X174</f>
        <v>0</v>
      </c>
      <c r="G174" s="468" t="s">
        <v>161</v>
      </c>
      <c r="H174" s="200">
        <v>6050</v>
      </c>
      <c r="I174" s="166" t="s">
        <v>28</v>
      </c>
      <c r="J174" s="164">
        <v>2194446</v>
      </c>
      <c r="K174" s="206">
        <v>0</v>
      </c>
      <c r="L174" s="262">
        <v>0</v>
      </c>
      <c r="M174" s="164"/>
      <c r="N174" s="240"/>
      <c r="O174" s="158"/>
      <c r="P174" s="158"/>
      <c r="Q174" s="186"/>
      <c r="R174" s="186"/>
      <c r="S174" s="186"/>
      <c r="T174" s="264"/>
      <c r="U174" s="186"/>
      <c r="V174" s="186"/>
      <c r="W174" s="186"/>
      <c r="X174" s="483">
        <f>SUM(K178:P178)</f>
        <v>0</v>
      </c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0.5" hidden="1" customHeight="1">
      <c r="A175" s="351"/>
      <c r="B175" s="470"/>
      <c r="C175" s="379"/>
      <c r="D175" s="379"/>
      <c r="E175" s="469"/>
      <c r="F175" s="386"/>
      <c r="G175" s="468"/>
      <c r="H175" s="200"/>
      <c r="I175" s="166" t="s">
        <v>45</v>
      </c>
      <c r="J175" s="164">
        <f>1057515</f>
        <v>1057515</v>
      </c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83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15" hidden="1" customHeight="1">
      <c r="A176" s="351"/>
      <c r="B176" s="470"/>
      <c r="C176" s="379"/>
      <c r="D176" s="379"/>
      <c r="E176" s="469"/>
      <c r="F176" s="386"/>
      <c r="G176" s="468"/>
      <c r="H176" s="200"/>
      <c r="I176" s="166" t="s">
        <v>46</v>
      </c>
      <c r="J176" s="164">
        <f>218642</f>
        <v>218642</v>
      </c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483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.75" hidden="1" customHeight="1">
      <c r="A177" s="351"/>
      <c r="B177" s="470"/>
      <c r="C177" s="379"/>
      <c r="D177" s="379"/>
      <c r="E177" s="469"/>
      <c r="F177" s="386"/>
      <c r="G177" s="468"/>
      <c r="H177" s="170"/>
      <c r="I177" s="155" t="s">
        <v>33</v>
      </c>
      <c r="J177" s="199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483"/>
      <c r="Y177" s="40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8.25" hidden="1" customHeight="1">
      <c r="A178" s="351"/>
      <c r="B178" s="470"/>
      <c r="C178" s="379"/>
      <c r="D178" s="379"/>
      <c r="E178" s="469"/>
      <c r="F178" s="386"/>
      <c r="G178" s="468"/>
      <c r="H178" s="170"/>
      <c r="I178" s="160" t="s">
        <v>26</v>
      </c>
      <c r="J178" s="161">
        <f>SUM(J174:J177)</f>
        <v>3470603</v>
      </c>
      <c r="K178" s="207">
        <f t="shared" ref="K178:W178" si="51">SUM(K174:K177)</f>
        <v>0</v>
      </c>
      <c r="L178" s="207">
        <f t="shared" si="51"/>
        <v>0</v>
      </c>
      <c r="M178" s="161">
        <f>SUM(M174:M177)</f>
        <v>0</v>
      </c>
      <c r="N178" s="162">
        <f t="shared" si="51"/>
        <v>0</v>
      </c>
      <c r="O178" s="162">
        <f t="shared" si="51"/>
        <v>0</v>
      </c>
      <c r="P178" s="162">
        <f t="shared" si="51"/>
        <v>0</v>
      </c>
      <c r="Q178" s="162">
        <f t="shared" si="51"/>
        <v>0</v>
      </c>
      <c r="R178" s="162">
        <f t="shared" si="51"/>
        <v>0</v>
      </c>
      <c r="S178" s="162">
        <f t="shared" si="51"/>
        <v>0</v>
      </c>
      <c r="T178" s="162">
        <f t="shared" si="51"/>
        <v>0</v>
      </c>
      <c r="U178" s="162">
        <f t="shared" si="51"/>
        <v>0</v>
      </c>
      <c r="V178" s="162">
        <f t="shared" si="51"/>
        <v>0</v>
      </c>
      <c r="W178" s="162">
        <f t="shared" si="51"/>
        <v>0</v>
      </c>
      <c r="X178" s="483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51">
        <v>1</v>
      </c>
      <c r="B179" s="470" t="s">
        <v>44</v>
      </c>
      <c r="C179" s="379">
        <v>2014</v>
      </c>
      <c r="D179" s="379">
        <v>2032</v>
      </c>
      <c r="E179" s="360" t="s">
        <v>258</v>
      </c>
      <c r="F179" s="419">
        <f>2094946+X179+6164</f>
        <v>3326110</v>
      </c>
      <c r="G179" s="266" t="s">
        <v>151</v>
      </c>
      <c r="H179" s="200">
        <v>6050</v>
      </c>
      <c r="I179" s="166" t="s">
        <v>28</v>
      </c>
      <c r="J179" s="156">
        <v>310000</v>
      </c>
      <c r="K179" s="164">
        <v>24870</v>
      </c>
      <c r="L179" s="164"/>
      <c r="M179" s="164"/>
      <c r="N179" s="323">
        <v>0</v>
      </c>
      <c r="O179" s="164">
        <f>50000+50000</f>
        <v>100000</v>
      </c>
      <c r="P179" s="164">
        <v>137500</v>
      </c>
      <c r="Q179" s="164">
        <v>50000</v>
      </c>
      <c r="R179" s="164">
        <v>50000</v>
      </c>
      <c r="S179" s="164">
        <v>62500</v>
      </c>
      <c r="T179" s="164">
        <v>75000</v>
      </c>
      <c r="U179" s="164">
        <v>137500</v>
      </c>
      <c r="V179" s="157"/>
      <c r="W179" s="157"/>
      <c r="X179" s="364">
        <f>SUM(M183:W183)</f>
        <v>1225000</v>
      </c>
      <c r="Y179" s="138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51"/>
      <c r="B180" s="470"/>
      <c r="C180" s="379"/>
      <c r="D180" s="379"/>
      <c r="E180" s="360"/>
      <c r="F180" s="419"/>
      <c r="G180" s="266" t="s">
        <v>152</v>
      </c>
      <c r="H180" s="200">
        <v>6050</v>
      </c>
      <c r="I180" s="166" t="s">
        <v>28</v>
      </c>
      <c r="J180" s="187"/>
      <c r="K180" s="169"/>
      <c r="L180" s="164"/>
      <c r="M180" s="164"/>
      <c r="N180" s="323">
        <v>0</v>
      </c>
      <c r="O180" s="164">
        <f>50000+50000</f>
        <v>100000</v>
      </c>
      <c r="P180" s="156">
        <v>137500</v>
      </c>
      <c r="Q180" s="156">
        <v>50000</v>
      </c>
      <c r="R180" s="156">
        <v>50000</v>
      </c>
      <c r="S180" s="156">
        <v>62500</v>
      </c>
      <c r="T180" s="156">
        <v>75000</v>
      </c>
      <c r="U180" s="156">
        <v>137500</v>
      </c>
      <c r="V180" s="158"/>
      <c r="W180" s="158"/>
      <c r="X180" s="364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5" customHeight="1">
      <c r="A181" s="351"/>
      <c r="B181" s="470"/>
      <c r="C181" s="379"/>
      <c r="D181" s="379"/>
      <c r="E181" s="360"/>
      <c r="F181" s="419"/>
      <c r="G181" s="268"/>
      <c r="H181" s="170"/>
      <c r="I181" s="155" t="s">
        <v>30</v>
      </c>
      <c r="J181" s="199"/>
      <c r="K181" s="199"/>
      <c r="L181" s="199"/>
      <c r="M181" s="164"/>
      <c r="N181" s="199"/>
      <c r="O181" s="199"/>
      <c r="P181" s="186"/>
      <c r="Q181" s="186"/>
      <c r="R181" s="186"/>
      <c r="S181" s="186"/>
      <c r="T181" s="186"/>
      <c r="U181" s="186"/>
      <c r="V181" s="186"/>
      <c r="W181" s="186"/>
      <c r="X181" s="364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5" customHeight="1">
      <c r="A182" s="351"/>
      <c r="B182" s="470"/>
      <c r="C182" s="379"/>
      <c r="D182" s="379"/>
      <c r="E182" s="360"/>
      <c r="F182" s="419"/>
      <c r="G182" s="268"/>
      <c r="H182" s="170"/>
      <c r="I182" s="155" t="s">
        <v>33</v>
      </c>
      <c r="J182" s="186"/>
      <c r="K182" s="186"/>
      <c r="L182" s="186"/>
      <c r="M182" s="157"/>
      <c r="N182" s="186"/>
      <c r="O182" s="186"/>
      <c r="P182" s="186"/>
      <c r="Q182" s="186"/>
      <c r="R182" s="186"/>
      <c r="S182" s="186"/>
      <c r="T182" s="186"/>
      <c r="U182" s="186"/>
      <c r="V182" s="186"/>
      <c r="W182" s="186"/>
      <c r="X182" s="364"/>
      <c r="Y182" s="40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7.25" customHeight="1">
      <c r="A183" s="351"/>
      <c r="B183" s="470"/>
      <c r="C183" s="379"/>
      <c r="D183" s="379"/>
      <c r="E183" s="360"/>
      <c r="F183" s="419"/>
      <c r="G183" s="270"/>
      <c r="H183" s="170"/>
      <c r="I183" s="160" t="s">
        <v>26</v>
      </c>
      <c r="J183" s="161">
        <f t="shared" ref="J183:W183" si="52">SUM(J179:J182)</f>
        <v>310000</v>
      </c>
      <c r="K183" s="161">
        <f t="shared" si="52"/>
        <v>24870</v>
      </c>
      <c r="L183" s="161">
        <f t="shared" si="52"/>
        <v>0</v>
      </c>
      <c r="M183" s="161">
        <f t="shared" si="52"/>
        <v>0</v>
      </c>
      <c r="N183" s="216">
        <f t="shared" si="52"/>
        <v>0</v>
      </c>
      <c r="O183" s="216">
        <f t="shared" si="52"/>
        <v>200000</v>
      </c>
      <c r="P183" s="216">
        <f t="shared" si="52"/>
        <v>275000</v>
      </c>
      <c r="Q183" s="161">
        <f t="shared" si="52"/>
        <v>100000</v>
      </c>
      <c r="R183" s="161">
        <f t="shared" si="52"/>
        <v>100000</v>
      </c>
      <c r="S183" s="161">
        <f t="shared" si="52"/>
        <v>125000</v>
      </c>
      <c r="T183" s="161">
        <f t="shared" si="52"/>
        <v>150000</v>
      </c>
      <c r="U183" s="161">
        <f t="shared" si="52"/>
        <v>275000</v>
      </c>
      <c r="V183" s="161">
        <f t="shared" si="52"/>
        <v>0</v>
      </c>
      <c r="W183" s="161">
        <f t="shared" si="52"/>
        <v>0</v>
      </c>
      <c r="X183" s="364"/>
      <c r="Y183" s="40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51">
        <v>2</v>
      </c>
      <c r="B184" s="474" t="s">
        <v>245</v>
      </c>
      <c r="C184" s="379">
        <v>2015</v>
      </c>
      <c r="D184" s="379">
        <v>2030</v>
      </c>
      <c r="E184" s="360" t="s">
        <v>258</v>
      </c>
      <c r="F184" s="546">
        <f>1491381+X184+400000</f>
        <v>4236381</v>
      </c>
      <c r="G184" s="274" t="s">
        <v>151</v>
      </c>
      <c r="H184" s="269">
        <v>6050</v>
      </c>
      <c r="I184" s="166" t="s">
        <v>28</v>
      </c>
      <c r="J184" s="164">
        <f>38000+68000+104000</f>
        <v>210000</v>
      </c>
      <c r="K184" s="164">
        <v>142459</v>
      </c>
      <c r="L184" s="164"/>
      <c r="M184" s="164"/>
      <c r="N184" s="323">
        <v>85000</v>
      </c>
      <c r="O184" s="164">
        <v>200000</v>
      </c>
      <c r="P184" s="164">
        <v>287500</v>
      </c>
      <c r="Q184" s="164">
        <v>200000</v>
      </c>
      <c r="R184" s="164">
        <v>200000</v>
      </c>
      <c r="S184" s="164">
        <v>200000</v>
      </c>
      <c r="T184" s="157"/>
      <c r="U184" s="157"/>
      <c r="V184" s="157"/>
      <c r="W184" s="157"/>
      <c r="X184" s="483">
        <f>SUM(M188:W188)</f>
        <v>2345000</v>
      </c>
      <c r="Y184" s="138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51"/>
      <c r="B185" s="474"/>
      <c r="C185" s="379"/>
      <c r="D185" s="379"/>
      <c r="E185" s="360"/>
      <c r="F185" s="546"/>
      <c r="G185" s="273" t="s">
        <v>152</v>
      </c>
      <c r="H185" s="269">
        <v>6050</v>
      </c>
      <c r="I185" s="166" t="s">
        <v>28</v>
      </c>
      <c r="J185" s="164"/>
      <c r="K185" s="164"/>
      <c r="L185" s="164"/>
      <c r="M185" s="156"/>
      <c r="N185" s="323">
        <v>85000</v>
      </c>
      <c r="O185" s="164">
        <v>200000</v>
      </c>
      <c r="P185" s="164">
        <v>287500</v>
      </c>
      <c r="Q185" s="164">
        <v>200000</v>
      </c>
      <c r="R185" s="164">
        <v>200000</v>
      </c>
      <c r="S185" s="164">
        <v>200000</v>
      </c>
      <c r="T185" s="186"/>
      <c r="U185" s="186"/>
      <c r="V185" s="186"/>
      <c r="W185" s="186"/>
      <c r="X185" s="483"/>
      <c r="Y185" s="133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2.75" customHeight="1">
      <c r="A186" s="351"/>
      <c r="B186" s="474"/>
      <c r="C186" s="379"/>
      <c r="D186" s="379"/>
      <c r="E186" s="360"/>
      <c r="F186" s="546"/>
      <c r="G186" s="271"/>
      <c r="H186" s="269"/>
      <c r="I186" s="166" t="s">
        <v>30</v>
      </c>
      <c r="J186" s="169"/>
      <c r="K186" s="169"/>
      <c r="L186" s="169"/>
      <c r="M186" s="187"/>
      <c r="N186" s="187"/>
      <c r="O186" s="187"/>
      <c r="P186" s="187"/>
      <c r="Q186" s="187"/>
      <c r="R186" s="187"/>
      <c r="S186" s="187"/>
      <c r="T186" s="186"/>
      <c r="U186" s="186"/>
      <c r="V186" s="186"/>
      <c r="W186" s="186"/>
      <c r="X186" s="483"/>
      <c r="Y186" s="133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51"/>
      <c r="B187" s="474"/>
      <c r="C187" s="379"/>
      <c r="D187" s="379"/>
      <c r="E187" s="360"/>
      <c r="F187" s="546"/>
      <c r="G187" s="271"/>
      <c r="H187" s="269"/>
      <c r="I187" s="155" t="s">
        <v>33</v>
      </c>
      <c r="J187" s="199"/>
      <c r="K187" s="199"/>
      <c r="L187" s="199"/>
      <c r="M187" s="186"/>
      <c r="N187" s="186"/>
      <c r="O187" s="186"/>
      <c r="P187" s="186"/>
      <c r="Q187" s="186"/>
      <c r="R187" s="186"/>
      <c r="S187" s="186"/>
      <c r="T187" s="186"/>
      <c r="U187" s="186"/>
      <c r="V187" s="186"/>
      <c r="W187" s="186"/>
      <c r="X187" s="483"/>
      <c r="Y187" s="40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6.149999999999999" customHeight="1">
      <c r="A188" s="351"/>
      <c r="B188" s="474"/>
      <c r="C188" s="379"/>
      <c r="D188" s="379"/>
      <c r="E188" s="360"/>
      <c r="F188" s="546"/>
      <c r="G188" s="272"/>
      <c r="H188" s="269"/>
      <c r="I188" s="160" t="s">
        <v>26</v>
      </c>
      <c r="J188" s="161">
        <f t="shared" ref="J188:N188" si="53">SUM(J184:J187)</f>
        <v>210000</v>
      </c>
      <c r="K188" s="161">
        <f t="shared" si="53"/>
        <v>142459</v>
      </c>
      <c r="L188" s="161">
        <f t="shared" si="53"/>
        <v>0</v>
      </c>
      <c r="M188" s="161">
        <f t="shared" si="53"/>
        <v>0</v>
      </c>
      <c r="N188" s="161">
        <f t="shared" si="53"/>
        <v>170000</v>
      </c>
      <c r="O188" s="162">
        <f>SUM(O184:O187)</f>
        <v>400000</v>
      </c>
      <c r="P188" s="162">
        <f>SUM(P184:P187)</f>
        <v>575000</v>
      </c>
      <c r="Q188" s="162">
        <f>SUM(Q184:Q187)</f>
        <v>400000</v>
      </c>
      <c r="R188" s="162">
        <f>SUM(R184:R187)</f>
        <v>400000</v>
      </c>
      <c r="S188" s="162">
        <f t="shared" ref="S188:W188" si="54">SUM(S184:S187)</f>
        <v>400000</v>
      </c>
      <c r="T188" s="162">
        <f t="shared" si="54"/>
        <v>0</v>
      </c>
      <c r="U188" s="162">
        <f t="shared" si="54"/>
        <v>0</v>
      </c>
      <c r="V188" s="162">
        <f t="shared" si="54"/>
        <v>0</v>
      </c>
      <c r="W188" s="162">
        <f t="shared" si="54"/>
        <v>0</v>
      </c>
      <c r="X188" s="483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51">
        <v>3</v>
      </c>
      <c r="B189" s="378" t="s">
        <v>242</v>
      </c>
      <c r="C189" s="379">
        <v>2024</v>
      </c>
      <c r="D189" s="379">
        <v>2025</v>
      </c>
      <c r="E189" s="360" t="s">
        <v>258</v>
      </c>
      <c r="F189" s="419">
        <f>X189+20000-20000</f>
        <v>0</v>
      </c>
      <c r="G189" s="268" t="s">
        <v>240</v>
      </c>
      <c r="H189" s="170">
        <v>6050</v>
      </c>
      <c r="I189" s="155" t="s">
        <v>28</v>
      </c>
      <c r="J189" s="157">
        <f>1300000-1300000</f>
        <v>0</v>
      </c>
      <c r="K189" s="157"/>
      <c r="L189" s="164">
        <v>0</v>
      </c>
      <c r="M189" s="164"/>
      <c r="N189" s="164">
        <v>0</v>
      </c>
      <c r="O189" s="164"/>
      <c r="P189" s="164"/>
      <c r="Q189" s="164"/>
      <c r="R189" s="157"/>
      <c r="S189" s="157"/>
      <c r="T189" s="157"/>
      <c r="U189" s="157"/>
      <c r="V189" s="157"/>
      <c r="W189" s="157"/>
      <c r="X189" s="364">
        <f>SUM(L193:P193)</f>
        <v>0</v>
      </c>
      <c r="Y189" s="138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51"/>
      <c r="B190" s="378"/>
      <c r="C190" s="379"/>
      <c r="D190" s="379"/>
      <c r="E190" s="360"/>
      <c r="F190" s="419"/>
      <c r="G190" s="268" t="s">
        <v>152</v>
      </c>
      <c r="H190" s="170">
        <v>6050</v>
      </c>
      <c r="I190" s="155" t="s">
        <v>31</v>
      </c>
      <c r="J190" s="208"/>
      <c r="K190" s="208"/>
      <c r="L190" s="208"/>
      <c r="M190" s="185"/>
      <c r="N190" s="164">
        <v>0</v>
      </c>
      <c r="O190" s="185"/>
      <c r="P190" s="185"/>
      <c r="Q190" s="185"/>
      <c r="R190" s="185"/>
      <c r="S190" s="185"/>
      <c r="T190" s="185"/>
      <c r="U190" s="185"/>
      <c r="V190" s="185"/>
      <c r="W190" s="185"/>
      <c r="X190" s="364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2.75" customHeight="1">
      <c r="A191" s="351"/>
      <c r="B191" s="378"/>
      <c r="C191" s="379"/>
      <c r="D191" s="379"/>
      <c r="E191" s="360"/>
      <c r="F191" s="419"/>
      <c r="G191" s="268"/>
      <c r="H191" s="170"/>
      <c r="I191" s="155" t="s">
        <v>30</v>
      </c>
      <c r="J191" s="189"/>
      <c r="K191" s="189"/>
      <c r="L191" s="189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364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2.75" customHeight="1">
      <c r="A192" s="351"/>
      <c r="B192" s="378"/>
      <c r="C192" s="379"/>
      <c r="D192" s="379"/>
      <c r="E192" s="360"/>
      <c r="F192" s="419"/>
      <c r="G192" s="268"/>
      <c r="H192" s="170"/>
      <c r="I192" s="155" t="s">
        <v>33</v>
      </c>
      <c r="J192" s="189"/>
      <c r="K192" s="189"/>
      <c r="L192" s="189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364"/>
      <c r="Y192" s="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8" customHeight="1">
      <c r="A193" s="351"/>
      <c r="B193" s="378"/>
      <c r="C193" s="379"/>
      <c r="D193" s="379"/>
      <c r="E193" s="360"/>
      <c r="F193" s="419"/>
      <c r="G193" s="268"/>
      <c r="H193" s="170"/>
      <c r="I193" s="160" t="s">
        <v>26</v>
      </c>
      <c r="J193" s="161">
        <f t="shared" ref="J193:N193" si="55">SUM(J189:J192)</f>
        <v>0</v>
      </c>
      <c r="K193" s="161">
        <f t="shared" si="55"/>
        <v>0</v>
      </c>
      <c r="L193" s="161">
        <f t="shared" si="55"/>
        <v>0</v>
      </c>
      <c r="M193" s="161">
        <f t="shared" si="55"/>
        <v>0</v>
      </c>
      <c r="N193" s="162">
        <f t="shared" si="55"/>
        <v>0</v>
      </c>
      <c r="O193" s="162">
        <f>SUM(O189:O192)</f>
        <v>0</v>
      </c>
      <c r="P193" s="162">
        <f>SUM(P189:P192)</f>
        <v>0</v>
      </c>
      <c r="Q193" s="162">
        <f t="shared" ref="Q193:W193" si="56">SUM(Q189:Q192)</f>
        <v>0</v>
      </c>
      <c r="R193" s="162">
        <f t="shared" si="56"/>
        <v>0</v>
      </c>
      <c r="S193" s="162">
        <f t="shared" si="56"/>
        <v>0</v>
      </c>
      <c r="T193" s="162">
        <f t="shared" si="56"/>
        <v>0</v>
      </c>
      <c r="U193" s="162">
        <f t="shared" si="56"/>
        <v>0</v>
      </c>
      <c r="V193" s="162">
        <f t="shared" si="56"/>
        <v>0</v>
      </c>
      <c r="W193" s="162">
        <f t="shared" si="56"/>
        <v>0</v>
      </c>
      <c r="X193" s="364"/>
      <c r="Y193" s="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51">
        <v>4</v>
      </c>
      <c r="B194" s="378" t="s">
        <v>47</v>
      </c>
      <c r="C194" s="379">
        <v>2013</v>
      </c>
      <c r="D194" s="371">
        <v>2033</v>
      </c>
      <c r="E194" s="360" t="s">
        <v>258</v>
      </c>
      <c r="F194" s="419">
        <f>3987434+X194+365936</f>
        <v>10250370</v>
      </c>
      <c r="G194" s="266" t="s">
        <v>151</v>
      </c>
      <c r="H194" s="165">
        <v>6060</v>
      </c>
      <c r="I194" s="166" t="s">
        <v>28</v>
      </c>
      <c r="J194" s="164">
        <v>615000</v>
      </c>
      <c r="K194" s="164">
        <v>513000</v>
      </c>
      <c r="L194" s="164"/>
      <c r="M194" s="164"/>
      <c r="N194" s="164">
        <v>175000</v>
      </c>
      <c r="O194" s="164">
        <v>80000</v>
      </c>
      <c r="P194" s="164">
        <v>100000</v>
      </c>
      <c r="Q194" s="164">
        <v>80000</v>
      </c>
      <c r="R194" s="164">
        <v>100000</v>
      </c>
      <c r="S194" s="164"/>
      <c r="T194" s="164"/>
      <c r="U194" s="164"/>
      <c r="V194" s="164"/>
      <c r="W194" s="164"/>
      <c r="X194" s="364">
        <f>SUM(L199:W199)</f>
        <v>5897000</v>
      </c>
      <c r="Y194" s="1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51"/>
      <c r="B195" s="378"/>
      <c r="C195" s="379"/>
      <c r="D195" s="371"/>
      <c r="E195" s="360"/>
      <c r="F195" s="419"/>
      <c r="G195" s="266" t="s">
        <v>152</v>
      </c>
      <c r="H195" s="165">
        <v>6060</v>
      </c>
      <c r="I195" s="166" t="s">
        <v>28</v>
      </c>
      <c r="J195" s="164"/>
      <c r="K195" s="164"/>
      <c r="L195" s="164"/>
      <c r="M195" s="164"/>
      <c r="N195" s="164">
        <v>165000</v>
      </c>
      <c r="O195" s="164">
        <v>70000</v>
      </c>
      <c r="P195" s="164">
        <v>100000</v>
      </c>
      <c r="Q195" s="164">
        <v>70000</v>
      </c>
      <c r="R195" s="164">
        <v>100000</v>
      </c>
      <c r="S195" s="164"/>
      <c r="T195" s="164"/>
      <c r="U195" s="164"/>
      <c r="V195" s="164"/>
      <c r="W195" s="164"/>
      <c r="X195" s="364"/>
      <c r="Y195" s="1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51"/>
      <c r="B196" s="378"/>
      <c r="C196" s="379"/>
      <c r="D196" s="371"/>
      <c r="E196" s="360"/>
      <c r="F196" s="419"/>
      <c r="G196" s="266" t="s">
        <v>151</v>
      </c>
      <c r="H196" s="165">
        <v>6060</v>
      </c>
      <c r="I196" s="166" t="s">
        <v>28</v>
      </c>
      <c r="J196" s="156"/>
      <c r="K196" s="156"/>
      <c r="L196" s="156"/>
      <c r="M196" s="156"/>
      <c r="N196" s="156">
        <v>65000</v>
      </c>
      <c r="O196" s="156">
        <v>200000</v>
      </c>
      <c r="P196" s="156">
        <v>140000</v>
      </c>
      <c r="Q196" s="156">
        <v>180000</v>
      </c>
      <c r="R196" s="156">
        <v>130000</v>
      </c>
      <c r="S196" s="156">
        <v>130000</v>
      </c>
      <c r="T196" s="156">
        <v>130000</v>
      </c>
      <c r="U196" s="156">
        <v>130000</v>
      </c>
      <c r="V196" s="156">
        <v>130000</v>
      </c>
      <c r="W196" s="158"/>
      <c r="X196" s="364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5" customHeight="1">
      <c r="A197" s="351"/>
      <c r="B197" s="378"/>
      <c r="C197" s="379"/>
      <c r="D197" s="371"/>
      <c r="E197" s="360"/>
      <c r="F197" s="419"/>
      <c r="G197" s="266" t="s">
        <v>152</v>
      </c>
      <c r="H197" s="165">
        <v>6060</v>
      </c>
      <c r="I197" s="166" t="s">
        <v>28</v>
      </c>
      <c r="J197" s="156"/>
      <c r="K197" s="156"/>
      <c r="L197" s="156"/>
      <c r="M197" s="156"/>
      <c r="N197" s="324">
        <v>148000</v>
      </c>
      <c r="O197" s="156">
        <f>190000+100000</f>
        <v>290000</v>
      </c>
      <c r="P197" s="156">
        <v>140000</v>
      </c>
      <c r="Q197" s="156">
        <v>190000</v>
      </c>
      <c r="R197" s="156">
        <v>140000</v>
      </c>
      <c r="S197" s="156">
        <v>140000</v>
      </c>
      <c r="T197" s="156">
        <v>140000</v>
      </c>
      <c r="U197" s="156">
        <v>140000</v>
      </c>
      <c r="V197" s="156">
        <v>140000</v>
      </c>
      <c r="W197" s="156"/>
      <c r="X197" s="364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5" customHeight="1">
      <c r="A198" s="351"/>
      <c r="B198" s="378"/>
      <c r="C198" s="379"/>
      <c r="D198" s="371"/>
      <c r="E198" s="360"/>
      <c r="F198" s="419"/>
      <c r="G198" s="266" t="s">
        <v>153</v>
      </c>
      <c r="H198" s="165">
        <v>6060</v>
      </c>
      <c r="I198" s="166" t="s">
        <v>28</v>
      </c>
      <c r="J198" s="187"/>
      <c r="K198" s="187"/>
      <c r="L198" s="156"/>
      <c r="M198" s="156"/>
      <c r="N198" s="324">
        <v>34000</v>
      </c>
      <c r="O198" s="156">
        <f>220000+100000</f>
        <v>320000</v>
      </c>
      <c r="P198" s="156">
        <v>250000</v>
      </c>
      <c r="Q198" s="156">
        <v>300000</v>
      </c>
      <c r="R198" s="156">
        <v>250000</v>
      </c>
      <c r="S198" s="156">
        <v>250000</v>
      </c>
      <c r="T198" s="156">
        <v>250000</v>
      </c>
      <c r="U198" s="156">
        <v>250000</v>
      </c>
      <c r="V198" s="156">
        <v>250000</v>
      </c>
      <c r="W198" s="156"/>
      <c r="X198" s="364"/>
      <c r="Y198" s="40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2.75" customHeight="1">
      <c r="A199" s="351"/>
      <c r="B199" s="378"/>
      <c r="C199" s="379"/>
      <c r="D199" s="371"/>
      <c r="E199" s="360"/>
      <c r="F199" s="419"/>
      <c r="G199" s="265"/>
      <c r="H199" s="154"/>
      <c r="I199" s="160" t="s">
        <v>26</v>
      </c>
      <c r="J199" s="207">
        <f>SUM(J194:J198)</f>
        <v>615000</v>
      </c>
      <c r="K199" s="207">
        <f t="shared" ref="K199" si="57">SUM(K194:K198)</f>
        <v>513000</v>
      </c>
      <c r="L199" s="207">
        <f>SUM(L194:L198)</f>
        <v>0</v>
      </c>
      <c r="M199" s="207">
        <f t="shared" ref="M199:W199" si="58">SUM(M194:M198)</f>
        <v>0</v>
      </c>
      <c r="N199" s="207">
        <f t="shared" si="58"/>
        <v>587000</v>
      </c>
      <c r="O199" s="207">
        <f t="shared" si="58"/>
        <v>960000</v>
      </c>
      <c r="P199" s="207">
        <f t="shared" si="58"/>
        <v>730000</v>
      </c>
      <c r="Q199" s="207">
        <f t="shared" si="58"/>
        <v>820000</v>
      </c>
      <c r="R199" s="207">
        <f t="shared" si="58"/>
        <v>720000</v>
      </c>
      <c r="S199" s="207">
        <f t="shared" si="58"/>
        <v>520000</v>
      </c>
      <c r="T199" s="207">
        <f t="shared" si="58"/>
        <v>520000</v>
      </c>
      <c r="U199" s="207">
        <f t="shared" si="58"/>
        <v>520000</v>
      </c>
      <c r="V199" s="207">
        <f t="shared" si="58"/>
        <v>520000</v>
      </c>
      <c r="W199" s="207">
        <f t="shared" si="58"/>
        <v>0</v>
      </c>
      <c r="X199" s="364"/>
      <c r="Y199" s="40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51">
        <v>5</v>
      </c>
      <c r="B200" s="378" t="s">
        <v>48</v>
      </c>
      <c r="C200" s="371">
        <v>2014</v>
      </c>
      <c r="D200" s="371">
        <v>2029</v>
      </c>
      <c r="E200" s="360" t="s">
        <v>258</v>
      </c>
      <c r="F200" s="386">
        <f>840791+X200</f>
        <v>1332791</v>
      </c>
      <c r="G200" s="265" t="s">
        <v>152</v>
      </c>
      <c r="H200" s="165">
        <v>6050</v>
      </c>
      <c r="I200" s="155" t="s">
        <v>28</v>
      </c>
      <c r="J200" s="164">
        <v>110641</v>
      </c>
      <c r="K200" s="158">
        <f>50000-50000</f>
        <v>0</v>
      </c>
      <c r="L200" s="156"/>
      <c r="M200" s="156">
        <v>0</v>
      </c>
      <c r="N200" s="324">
        <v>172000</v>
      </c>
      <c r="O200" s="156">
        <v>75000</v>
      </c>
      <c r="P200" s="156">
        <v>100000</v>
      </c>
      <c r="Q200" s="156">
        <v>75000</v>
      </c>
      <c r="R200" s="156">
        <v>70000</v>
      </c>
      <c r="S200" s="156"/>
      <c r="T200" s="156"/>
      <c r="U200" s="156"/>
      <c r="V200" s="158"/>
      <c r="W200" s="158"/>
      <c r="X200" s="483">
        <f>SUM(M204:W204)</f>
        <v>492000</v>
      </c>
      <c r="Y200" s="141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3.5" customHeight="1">
      <c r="A201" s="351"/>
      <c r="B201" s="378"/>
      <c r="C201" s="371"/>
      <c r="D201" s="371"/>
      <c r="E201" s="360"/>
      <c r="F201" s="386"/>
      <c r="G201" s="268"/>
      <c r="H201" s="165"/>
      <c r="I201" s="155" t="s">
        <v>31</v>
      </c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83"/>
      <c r="Y201" s="141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51"/>
      <c r="B202" s="378"/>
      <c r="C202" s="371"/>
      <c r="D202" s="371"/>
      <c r="E202" s="360"/>
      <c r="F202" s="386"/>
      <c r="G202" s="268"/>
      <c r="H202" s="165"/>
      <c r="I202" s="155" t="s">
        <v>30</v>
      </c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483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8" customHeight="1">
      <c r="A203" s="351"/>
      <c r="B203" s="378"/>
      <c r="C203" s="371"/>
      <c r="D203" s="371"/>
      <c r="E203" s="360"/>
      <c r="F203" s="386"/>
      <c r="G203" s="268"/>
      <c r="H203" s="165">
        <v>6050</v>
      </c>
      <c r="I203" s="155" t="s">
        <v>138</v>
      </c>
      <c r="J203" s="186"/>
      <c r="K203" s="186"/>
      <c r="L203" s="156">
        <v>0</v>
      </c>
      <c r="M203" s="186"/>
      <c r="N203" s="186"/>
      <c r="O203" s="186"/>
      <c r="P203" s="186"/>
      <c r="Q203" s="186"/>
      <c r="R203" s="186"/>
      <c r="S203" s="186"/>
      <c r="T203" s="186"/>
      <c r="U203" s="186"/>
      <c r="V203" s="186"/>
      <c r="W203" s="186"/>
      <c r="X203" s="483"/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3.5" customHeight="1">
      <c r="A204" s="351"/>
      <c r="B204" s="378"/>
      <c r="C204" s="371"/>
      <c r="D204" s="371"/>
      <c r="E204" s="360"/>
      <c r="F204" s="386"/>
      <c r="G204" s="268"/>
      <c r="H204" s="165"/>
      <c r="I204" s="160" t="s">
        <v>26</v>
      </c>
      <c r="J204" s="161">
        <f t="shared" ref="J204:W204" si="59">SUM(J200:J203)</f>
        <v>110641</v>
      </c>
      <c r="K204" s="161">
        <f t="shared" si="59"/>
        <v>0</v>
      </c>
      <c r="L204" s="161">
        <f t="shared" si="59"/>
        <v>0</v>
      </c>
      <c r="M204" s="161">
        <f t="shared" si="59"/>
        <v>0</v>
      </c>
      <c r="N204" s="161">
        <f t="shared" si="59"/>
        <v>172000</v>
      </c>
      <c r="O204" s="161">
        <f>SUM(O200:O203)</f>
        <v>75000</v>
      </c>
      <c r="P204" s="161">
        <f t="shared" si="59"/>
        <v>100000</v>
      </c>
      <c r="Q204" s="161">
        <f t="shared" si="59"/>
        <v>75000</v>
      </c>
      <c r="R204" s="161">
        <f t="shared" si="59"/>
        <v>70000</v>
      </c>
      <c r="S204" s="161">
        <f t="shared" si="59"/>
        <v>0</v>
      </c>
      <c r="T204" s="161">
        <f t="shared" si="59"/>
        <v>0</v>
      </c>
      <c r="U204" s="161">
        <f t="shared" si="59"/>
        <v>0</v>
      </c>
      <c r="V204" s="161">
        <f t="shared" si="59"/>
        <v>0</v>
      </c>
      <c r="W204" s="161">
        <f t="shared" si="59"/>
        <v>0</v>
      </c>
      <c r="X204" s="483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65">
        <v>6</v>
      </c>
      <c r="B205" s="455" t="s">
        <v>256</v>
      </c>
      <c r="C205" s="446">
        <v>2025</v>
      </c>
      <c r="D205" s="446">
        <v>2026</v>
      </c>
      <c r="E205" s="360" t="s">
        <v>258</v>
      </c>
      <c r="F205" s="537">
        <f>X205</f>
        <v>200000</v>
      </c>
      <c r="G205" s="266" t="s">
        <v>153</v>
      </c>
      <c r="H205" s="165">
        <v>6050</v>
      </c>
      <c r="I205" s="155" t="s">
        <v>28</v>
      </c>
      <c r="J205" s="164">
        <v>110641</v>
      </c>
      <c r="K205" s="158">
        <f>50000-50000</f>
        <v>0</v>
      </c>
      <c r="L205" s="156"/>
      <c r="M205" s="158"/>
      <c r="N205" s="156">
        <v>50000</v>
      </c>
      <c r="O205" s="156">
        <v>150000</v>
      </c>
      <c r="P205" s="158"/>
      <c r="Q205" s="158"/>
      <c r="R205" s="158"/>
      <c r="S205" s="158"/>
      <c r="T205" s="158"/>
      <c r="U205" s="158"/>
      <c r="V205" s="158"/>
      <c r="W205" s="158"/>
      <c r="X205" s="483">
        <f>SUM(L209:R209)</f>
        <v>200000</v>
      </c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66"/>
      <c r="B206" s="456"/>
      <c r="C206" s="447"/>
      <c r="D206" s="447"/>
      <c r="E206" s="360"/>
      <c r="F206" s="538"/>
      <c r="G206" s="266"/>
      <c r="H206" s="165"/>
      <c r="I206" s="155" t="s">
        <v>31</v>
      </c>
      <c r="J206" s="186"/>
      <c r="K206" s="186"/>
      <c r="L206" s="156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483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5.75" customHeight="1">
      <c r="A207" s="366"/>
      <c r="B207" s="456"/>
      <c r="C207" s="447"/>
      <c r="D207" s="447"/>
      <c r="E207" s="360"/>
      <c r="F207" s="538"/>
      <c r="G207" s="265"/>
      <c r="H207" s="165"/>
      <c r="I207" s="155" t="s">
        <v>30</v>
      </c>
      <c r="J207" s="186"/>
      <c r="K207" s="186"/>
      <c r="L207" s="187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483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5.75" customHeight="1">
      <c r="A208" s="366"/>
      <c r="B208" s="456"/>
      <c r="C208" s="447"/>
      <c r="D208" s="447"/>
      <c r="E208" s="360"/>
      <c r="F208" s="538"/>
      <c r="G208" s="265"/>
      <c r="H208" s="165"/>
      <c r="I208" s="155" t="s">
        <v>138</v>
      </c>
      <c r="J208" s="186"/>
      <c r="K208" s="186"/>
      <c r="L208" s="158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483"/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customHeight="1">
      <c r="A209" s="367"/>
      <c r="B209" s="541"/>
      <c r="C209" s="448"/>
      <c r="D209" s="448"/>
      <c r="E209" s="360"/>
      <c r="F209" s="539"/>
      <c r="G209" s="265"/>
      <c r="H209" s="165"/>
      <c r="I209" s="160" t="s">
        <v>26</v>
      </c>
      <c r="J209" s="161">
        <f t="shared" ref="J209:N209" si="60">SUM(J205:J208)</f>
        <v>110641</v>
      </c>
      <c r="K209" s="161">
        <f t="shared" si="60"/>
        <v>0</v>
      </c>
      <c r="L209" s="161">
        <f t="shared" si="60"/>
        <v>0</v>
      </c>
      <c r="M209" s="161">
        <f t="shared" si="60"/>
        <v>0</v>
      </c>
      <c r="N209" s="161">
        <f t="shared" si="60"/>
        <v>50000</v>
      </c>
      <c r="O209" s="161">
        <f>SUM(O205:O208)</f>
        <v>150000</v>
      </c>
      <c r="P209" s="161">
        <f t="shared" ref="P209:W209" si="61">SUM(P205:P208)</f>
        <v>0</v>
      </c>
      <c r="Q209" s="161">
        <f t="shared" si="61"/>
        <v>0</v>
      </c>
      <c r="R209" s="161">
        <f t="shared" si="61"/>
        <v>0</v>
      </c>
      <c r="S209" s="161">
        <f t="shared" si="61"/>
        <v>0</v>
      </c>
      <c r="T209" s="161">
        <f t="shared" si="61"/>
        <v>0</v>
      </c>
      <c r="U209" s="161">
        <f t="shared" si="61"/>
        <v>0</v>
      </c>
      <c r="V209" s="161">
        <f t="shared" si="61"/>
        <v>0</v>
      </c>
      <c r="W209" s="161">
        <f t="shared" si="61"/>
        <v>0</v>
      </c>
      <c r="X209" s="483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65">
        <v>8</v>
      </c>
      <c r="B210" s="380" t="s">
        <v>204</v>
      </c>
      <c r="C210" s="355">
        <v>2019</v>
      </c>
      <c r="D210" s="355">
        <v>2023</v>
      </c>
      <c r="E210" s="480" t="s">
        <v>27</v>
      </c>
      <c r="F210" s="389">
        <f>X210</f>
        <v>0</v>
      </c>
      <c r="G210" s="498" t="s">
        <v>118</v>
      </c>
      <c r="H210" s="86">
        <v>6050</v>
      </c>
      <c r="I210" s="60" t="s">
        <v>28</v>
      </c>
      <c r="J210" s="213">
        <v>239118</v>
      </c>
      <c r="K210" s="84">
        <v>320000</v>
      </c>
      <c r="L210" s="84"/>
      <c r="M210" s="84"/>
      <c r="N210" s="77"/>
      <c r="O210" s="85"/>
      <c r="P210" s="85"/>
      <c r="Q210" s="85"/>
      <c r="R210" s="85"/>
      <c r="S210" s="85"/>
      <c r="T210" s="85"/>
      <c r="U210" s="85"/>
      <c r="V210" s="85"/>
      <c r="W210" s="85"/>
      <c r="X210" s="465">
        <f>SUM(L214:R214)</f>
        <v>0</v>
      </c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66"/>
      <c r="B211" s="380"/>
      <c r="C211" s="355"/>
      <c r="D211" s="355"/>
      <c r="E211" s="480"/>
      <c r="F211" s="389"/>
      <c r="G211" s="498"/>
      <c r="H211" s="86"/>
      <c r="I211" s="60" t="s">
        <v>101</v>
      </c>
      <c r="J211" s="214">
        <v>120885</v>
      </c>
      <c r="K211" s="84">
        <v>133656</v>
      </c>
      <c r="L211" s="62"/>
      <c r="M211" s="62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65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3.5" hidden="1" customHeight="1">
      <c r="A212" s="366"/>
      <c r="B212" s="380"/>
      <c r="C212" s="355"/>
      <c r="D212" s="355"/>
      <c r="E212" s="480"/>
      <c r="F212" s="389"/>
      <c r="G212" s="498"/>
      <c r="H212" s="86"/>
      <c r="I212" s="60" t="s">
        <v>30</v>
      </c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465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3.5" hidden="1" customHeight="1">
      <c r="A213" s="366"/>
      <c r="B213" s="380"/>
      <c r="C213" s="355"/>
      <c r="D213" s="355"/>
      <c r="E213" s="480"/>
      <c r="F213" s="389"/>
      <c r="G213" s="498"/>
      <c r="H213" s="86"/>
      <c r="I213" s="60" t="s">
        <v>33</v>
      </c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465"/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2" hidden="1" customHeight="1">
      <c r="A214" s="367"/>
      <c r="B214" s="380"/>
      <c r="C214" s="355"/>
      <c r="D214" s="355"/>
      <c r="E214" s="480"/>
      <c r="F214" s="389"/>
      <c r="G214" s="498"/>
      <c r="H214" s="86"/>
      <c r="I214" s="64" t="s">
        <v>26</v>
      </c>
      <c r="J214" s="65">
        <f t="shared" ref="J214:P214" si="62">SUM(J210:J213)</f>
        <v>360003</v>
      </c>
      <c r="K214" s="65">
        <f t="shared" si="62"/>
        <v>453656</v>
      </c>
      <c r="L214" s="65">
        <f t="shared" si="62"/>
        <v>0</v>
      </c>
      <c r="M214" s="65">
        <f t="shared" si="62"/>
        <v>0</v>
      </c>
      <c r="N214" s="65">
        <f t="shared" si="62"/>
        <v>0</v>
      </c>
      <c r="O214" s="65">
        <f t="shared" si="62"/>
        <v>0</v>
      </c>
      <c r="P214" s="65">
        <f t="shared" si="62"/>
        <v>0</v>
      </c>
      <c r="Q214" s="65"/>
      <c r="R214" s="65"/>
      <c r="S214" s="65"/>
      <c r="T214" s="65"/>
      <c r="U214" s="65"/>
      <c r="V214" s="65"/>
      <c r="W214" s="65"/>
      <c r="X214" s="465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65">
        <v>5</v>
      </c>
      <c r="B215" s="380" t="s">
        <v>205</v>
      </c>
      <c r="C215" s="355">
        <v>2022</v>
      </c>
      <c r="D215" s="355">
        <v>2023</v>
      </c>
      <c r="E215" s="480" t="s">
        <v>27</v>
      </c>
      <c r="F215" s="389">
        <f>X215</f>
        <v>0</v>
      </c>
      <c r="G215" s="498" t="s">
        <v>118</v>
      </c>
      <c r="H215" s="86">
        <v>6050</v>
      </c>
      <c r="I215" s="61" t="s">
        <v>28</v>
      </c>
      <c r="J215" s="87">
        <v>239118</v>
      </c>
      <c r="K215" s="84">
        <v>320000</v>
      </c>
      <c r="L215" s="84"/>
      <c r="M215" s="84"/>
      <c r="N215" s="87"/>
      <c r="O215" s="84"/>
      <c r="P215" s="84"/>
      <c r="Q215" s="84"/>
      <c r="R215" s="84"/>
      <c r="S215" s="84"/>
      <c r="T215" s="84"/>
      <c r="U215" s="84"/>
      <c r="V215" s="84"/>
      <c r="W215" s="84"/>
      <c r="X215" s="465">
        <f>SUM(L219:R219)</f>
        <v>0</v>
      </c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5" hidden="1" customHeight="1">
      <c r="A216" s="366"/>
      <c r="B216" s="380"/>
      <c r="C216" s="355"/>
      <c r="D216" s="355"/>
      <c r="E216" s="480"/>
      <c r="F216" s="389"/>
      <c r="G216" s="498"/>
      <c r="H216" s="86"/>
      <c r="I216" s="61" t="s">
        <v>101</v>
      </c>
      <c r="J216" s="84">
        <v>120885</v>
      </c>
      <c r="K216" s="84">
        <v>133656</v>
      </c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65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5" hidden="1" customHeight="1">
      <c r="A217" s="366"/>
      <c r="B217" s="380"/>
      <c r="C217" s="355"/>
      <c r="D217" s="355"/>
      <c r="E217" s="480"/>
      <c r="F217" s="389"/>
      <c r="G217" s="498"/>
      <c r="H217" s="86"/>
      <c r="I217" s="61" t="s">
        <v>30</v>
      </c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465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7.25" hidden="1" customHeight="1">
      <c r="A218" s="366"/>
      <c r="B218" s="380"/>
      <c r="C218" s="355"/>
      <c r="D218" s="355"/>
      <c r="E218" s="480"/>
      <c r="F218" s="389"/>
      <c r="G218" s="498"/>
      <c r="H218" s="86">
        <v>6050</v>
      </c>
      <c r="I218" s="61" t="s">
        <v>178</v>
      </c>
      <c r="J218" s="62"/>
      <c r="K218" s="62"/>
      <c r="L218" s="62"/>
      <c r="M218" s="84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465"/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2.75" hidden="1" customHeight="1">
      <c r="A219" s="367"/>
      <c r="B219" s="380"/>
      <c r="C219" s="355"/>
      <c r="D219" s="355"/>
      <c r="E219" s="480"/>
      <c r="F219" s="389"/>
      <c r="G219" s="498"/>
      <c r="H219" s="86"/>
      <c r="I219" s="64" t="s">
        <v>26</v>
      </c>
      <c r="J219" s="65">
        <f t="shared" ref="J219:P219" si="63">SUM(J215:J218)</f>
        <v>360003</v>
      </c>
      <c r="K219" s="65">
        <f t="shared" si="63"/>
        <v>453656</v>
      </c>
      <c r="L219" s="65">
        <f t="shared" si="63"/>
        <v>0</v>
      </c>
      <c r="M219" s="65">
        <f t="shared" si="63"/>
        <v>0</v>
      </c>
      <c r="N219" s="65">
        <f t="shared" si="63"/>
        <v>0</v>
      </c>
      <c r="O219" s="65">
        <f t="shared" si="63"/>
        <v>0</v>
      </c>
      <c r="P219" s="65">
        <f t="shared" si="63"/>
        <v>0</v>
      </c>
      <c r="Q219" s="65"/>
      <c r="R219" s="65"/>
      <c r="S219" s="65"/>
      <c r="T219" s="65"/>
      <c r="U219" s="65"/>
      <c r="V219" s="65"/>
      <c r="W219" s="65"/>
      <c r="X219" s="465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t="18" hidden="1" customHeight="1">
      <c r="A220" s="351">
        <v>9</v>
      </c>
      <c r="B220" s="492" t="s">
        <v>154</v>
      </c>
      <c r="C220" s="428">
        <v>2018</v>
      </c>
      <c r="D220" s="445">
        <v>2021</v>
      </c>
      <c r="E220" s="361" t="s">
        <v>27</v>
      </c>
      <c r="F220" s="473">
        <v>0</v>
      </c>
      <c r="G220" s="509" t="s">
        <v>42</v>
      </c>
      <c r="H220" s="104">
        <v>6050</v>
      </c>
      <c r="I220" s="114" t="s">
        <v>28</v>
      </c>
      <c r="J220" s="139">
        <v>10839</v>
      </c>
      <c r="K220" s="94">
        <v>70000</v>
      </c>
      <c r="L220" s="94"/>
      <c r="M220" s="116"/>
      <c r="N220" s="116"/>
      <c r="O220" s="126"/>
      <c r="P220" s="126"/>
      <c r="Q220" s="126"/>
      <c r="R220" s="126"/>
      <c r="S220" s="126"/>
      <c r="T220" s="126"/>
      <c r="U220" s="126"/>
      <c r="V220" s="126"/>
      <c r="W220" s="126"/>
      <c r="X220" s="376">
        <f>SUM(L225:W225)</f>
        <v>0</v>
      </c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t="18" hidden="1" customHeight="1">
      <c r="A221" s="351"/>
      <c r="B221" s="492"/>
      <c r="C221" s="428"/>
      <c r="D221" s="445"/>
      <c r="E221" s="361"/>
      <c r="F221" s="473"/>
      <c r="G221" s="509"/>
      <c r="H221" s="91"/>
      <c r="I221" s="124" t="s">
        <v>28</v>
      </c>
      <c r="J221" s="127"/>
      <c r="K221" s="116"/>
      <c r="L221" s="116"/>
      <c r="M221" s="116"/>
      <c r="N221" s="116"/>
      <c r="O221" s="126"/>
      <c r="P221" s="126"/>
      <c r="Q221" s="126"/>
      <c r="R221" s="126"/>
      <c r="S221" s="126"/>
      <c r="T221" s="126"/>
      <c r="U221" s="126"/>
      <c r="V221" s="126"/>
      <c r="W221" s="126"/>
      <c r="X221" s="376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51"/>
      <c r="B222" s="492"/>
      <c r="C222" s="428"/>
      <c r="D222" s="445"/>
      <c r="E222" s="361"/>
      <c r="F222" s="473"/>
      <c r="G222" s="509"/>
      <c r="H222" s="91"/>
      <c r="I222" s="97" t="s">
        <v>31</v>
      </c>
      <c r="J222" s="122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76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idden="1">
      <c r="A223" s="351"/>
      <c r="B223" s="492"/>
      <c r="C223" s="428"/>
      <c r="D223" s="445"/>
      <c r="E223" s="361"/>
      <c r="F223" s="473"/>
      <c r="G223" s="509"/>
      <c r="H223" s="91"/>
      <c r="I223" s="97" t="s">
        <v>32</v>
      </c>
      <c r="J223" s="122"/>
      <c r="K223" s="125">
        <v>5000</v>
      </c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376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51"/>
      <c r="B224" s="492"/>
      <c r="C224" s="428"/>
      <c r="D224" s="445"/>
      <c r="E224" s="361"/>
      <c r="F224" s="473"/>
      <c r="G224" s="509"/>
      <c r="H224" s="91"/>
      <c r="I224" s="92" t="s">
        <v>102</v>
      </c>
      <c r="J224" s="123"/>
      <c r="K224" s="95">
        <v>15024</v>
      </c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376"/>
      <c r="Y224" s="40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t="13.5" hidden="1" customHeight="1">
      <c r="A225" s="351"/>
      <c r="B225" s="492"/>
      <c r="C225" s="428"/>
      <c r="D225" s="445"/>
      <c r="E225" s="361"/>
      <c r="F225" s="473"/>
      <c r="G225" s="509"/>
      <c r="H225" s="91"/>
      <c r="I225" s="101" t="s">
        <v>26</v>
      </c>
      <c r="J225" s="102">
        <f>SUM(J220:J224)</f>
        <v>10839</v>
      </c>
      <c r="K225" s="102">
        <f t="shared" ref="K225:P225" si="64">SUM(K220:K224)</f>
        <v>90024</v>
      </c>
      <c r="L225" s="102">
        <f t="shared" si="64"/>
        <v>0</v>
      </c>
      <c r="M225" s="120">
        <f t="shared" si="64"/>
        <v>0</v>
      </c>
      <c r="N225" s="120">
        <f t="shared" si="64"/>
        <v>0</v>
      </c>
      <c r="O225" s="121">
        <f t="shared" si="64"/>
        <v>0</v>
      </c>
      <c r="P225" s="121">
        <f t="shared" si="64"/>
        <v>0</v>
      </c>
      <c r="Q225" s="121"/>
      <c r="R225" s="121"/>
      <c r="S225" s="121"/>
      <c r="T225" s="121"/>
      <c r="U225" s="121"/>
      <c r="V225" s="121"/>
      <c r="W225" s="121"/>
      <c r="X225" s="376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51">
        <v>9</v>
      </c>
      <c r="B226" s="380" t="s">
        <v>77</v>
      </c>
      <c r="C226" s="428">
        <v>2016</v>
      </c>
      <c r="D226" s="428">
        <v>2019</v>
      </c>
      <c r="E226" s="412" t="s">
        <v>27</v>
      </c>
      <c r="F226" s="413">
        <v>0</v>
      </c>
      <c r="G226" s="418">
        <v>60014</v>
      </c>
      <c r="H226" s="104">
        <v>6300</v>
      </c>
      <c r="I226" s="114" t="s">
        <v>28</v>
      </c>
      <c r="J226" s="139">
        <v>0</v>
      </c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76">
        <f>SUM(J230:P230)</f>
        <v>0</v>
      </c>
      <c r="Y226" s="141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51"/>
      <c r="B227" s="380"/>
      <c r="C227" s="428"/>
      <c r="D227" s="428"/>
      <c r="E227" s="412"/>
      <c r="F227" s="413"/>
      <c r="G227" s="418"/>
      <c r="H227" s="104"/>
      <c r="I227" s="114" t="s">
        <v>31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76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idden="1">
      <c r="A228" s="351"/>
      <c r="B228" s="380"/>
      <c r="C228" s="428"/>
      <c r="D228" s="428"/>
      <c r="E228" s="412"/>
      <c r="F228" s="413"/>
      <c r="G228" s="418"/>
      <c r="H228" s="104"/>
      <c r="I228" s="114" t="s">
        <v>30</v>
      </c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376"/>
      <c r="Y228" s="40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idden="1">
      <c r="A229" s="351"/>
      <c r="B229" s="380"/>
      <c r="C229" s="428"/>
      <c r="D229" s="428"/>
      <c r="E229" s="412"/>
      <c r="F229" s="413"/>
      <c r="G229" s="418"/>
      <c r="H229" s="104"/>
      <c r="I229" s="114" t="s">
        <v>33</v>
      </c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376"/>
      <c r="Y229" s="40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4.5" hidden="1" customHeight="1">
      <c r="A230" s="351"/>
      <c r="B230" s="380"/>
      <c r="C230" s="428"/>
      <c r="D230" s="428"/>
      <c r="E230" s="412"/>
      <c r="F230" s="413"/>
      <c r="G230" s="418"/>
      <c r="H230" s="104"/>
      <c r="I230" s="101" t="s">
        <v>26</v>
      </c>
      <c r="J230" s="102">
        <f t="shared" ref="J230" si="65">SUM(J226:J229)</f>
        <v>0</v>
      </c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376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51">
        <v>10</v>
      </c>
      <c r="B231" s="380" t="s">
        <v>107</v>
      </c>
      <c r="C231" s="445">
        <v>2019</v>
      </c>
      <c r="D231" s="445">
        <v>2020</v>
      </c>
      <c r="E231" s="361" t="s">
        <v>27</v>
      </c>
      <c r="F231" s="544"/>
      <c r="G231" s="384">
        <v>60014</v>
      </c>
      <c r="H231" s="91">
        <v>6300</v>
      </c>
      <c r="I231" s="97" t="s">
        <v>28</v>
      </c>
      <c r="J231" s="94">
        <v>0</v>
      </c>
      <c r="K231" s="93"/>
      <c r="L231" s="143"/>
      <c r="M231" s="94">
        <v>0</v>
      </c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473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51"/>
      <c r="B232" s="380"/>
      <c r="C232" s="445"/>
      <c r="D232" s="445"/>
      <c r="E232" s="361"/>
      <c r="F232" s="544"/>
      <c r="G232" s="384"/>
      <c r="H232" s="91"/>
      <c r="I232" s="97" t="s">
        <v>31</v>
      </c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473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5" hidden="1" customHeight="1">
      <c r="A233" s="351"/>
      <c r="B233" s="380"/>
      <c r="C233" s="445"/>
      <c r="D233" s="445"/>
      <c r="E233" s="361"/>
      <c r="F233" s="544"/>
      <c r="G233" s="384"/>
      <c r="H233" s="91"/>
      <c r="I233" s="97" t="s">
        <v>30</v>
      </c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473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51"/>
      <c r="B234" s="380"/>
      <c r="C234" s="445"/>
      <c r="D234" s="445"/>
      <c r="E234" s="361"/>
      <c r="F234" s="544"/>
      <c r="G234" s="384"/>
      <c r="H234" s="91"/>
      <c r="I234" s="97" t="s">
        <v>78</v>
      </c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473"/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7.25" hidden="1" customHeight="1">
      <c r="A235" s="351"/>
      <c r="B235" s="380"/>
      <c r="C235" s="445"/>
      <c r="D235" s="445"/>
      <c r="E235" s="361"/>
      <c r="F235" s="544"/>
      <c r="G235" s="384"/>
      <c r="H235" s="91"/>
      <c r="I235" s="101" t="s">
        <v>26</v>
      </c>
      <c r="J235" s="102">
        <f t="shared" ref="J235:M235" si="66">SUM(J231:J234)</f>
        <v>0</v>
      </c>
      <c r="K235" s="102">
        <f t="shared" si="66"/>
        <v>0</v>
      </c>
      <c r="L235" s="102">
        <f t="shared" si="66"/>
        <v>0</v>
      </c>
      <c r="M235" s="102">
        <f t="shared" si="66"/>
        <v>0</v>
      </c>
      <c r="N235" s="102">
        <f>SUM(N231:N234)</f>
        <v>0</v>
      </c>
      <c r="O235" s="102">
        <f>SUM(O231:O234)</f>
        <v>0</v>
      </c>
      <c r="P235" s="102">
        <f>SUM(P231:P234)</f>
        <v>0</v>
      </c>
      <c r="Q235" s="102"/>
      <c r="R235" s="102"/>
      <c r="S235" s="102"/>
      <c r="T235" s="102"/>
      <c r="U235" s="102"/>
      <c r="V235" s="102"/>
      <c r="W235" s="102"/>
      <c r="X235" s="473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5" hidden="1" customHeight="1">
      <c r="A236" s="365">
        <v>6</v>
      </c>
      <c r="B236" s="534" t="s">
        <v>199</v>
      </c>
      <c r="C236" s="446">
        <v>2022</v>
      </c>
      <c r="D236" s="446">
        <v>2023</v>
      </c>
      <c r="E236" s="360" t="s">
        <v>27</v>
      </c>
      <c r="F236" s="537">
        <f>0+X236</f>
        <v>0</v>
      </c>
      <c r="G236" s="266" t="s">
        <v>151</v>
      </c>
      <c r="H236" s="165">
        <v>6050</v>
      </c>
      <c r="I236" s="166" t="s">
        <v>28</v>
      </c>
      <c r="J236" s="164">
        <v>110641</v>
      </c>
      <c r="K236" s="156">
        <f>50000-50000</f>
        <v>0</v>
      </c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483">
        <f>SUM(L240:W240)</f>
        <v>0</v>
      </c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66"/>
      <c r="B237" s="535"/>
      <c r="C237" s="447"/>
      <c r="D237" s="447"/>
      <c r="E237" s="360"/>
      <c r="F237" s="538"/>
      <c r="G237" s="266" t="s">
        <v>152</v>
      </c>
      <c r="H237" s="165">
        <v>6050</v>
      </c>
      <c r="I237" s="166" t="s">
        <v>28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83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6.5" hidden="1" customHeight="1">
      <c r="A238" s="366"/>
      <c r="B238" s="535"/>
      <c r="C238" s="447"/>
      <c r="D238" s="447"/>
      <c r="E238" s="360"/>
      <c r="F238" s="538"/>
      <c r="G238" s="266"/>
      <c r="H238" s="165"/>
      <c r="I238" s="166" t="s">
        <v>177</v>
      </c>
      <c r="J238" s="187"/>
      <c r="K238" s="187"/>
      <c r="L238" s="187"/>
      <c r="M238" s="156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483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5" hidden="1" customHeight="1">
      <c r="A239" s="366"/>
      <c r="B239" s="535"/>
      <c r="C239" s="447"/>
      <c r="D239" s="447"/>
      <c r="E239" s="360"/>
      <c r="F239" s="538"/>
      <c r="G239" s="266" t="s">
        <v>152</v>
      </c>
      <c r="H239" s="165">
        <v>6370</v>
      </c>
      <c r="I239" s="166" t="s">
        <v>177</v>
      </c>
      <c r="J239" s="187"/>
      <c r="K239" s="187"/>
      <c r="L239" s="156"/>
      <c r="M239" s="156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483"/>
      <c r="Y239" s="142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3.5" hidden="1" customHeight="1">
      <c r="A240" s="367"/>
      <c r="B240" s="536"/>
      <c r="C240" s="448"/>
      <c r="D240" s="448"/>
      <c r="E240" s="360"/>
      <c r="F240" s="539"/>
      <c r="G240" s="266"/>
      <c r="H240" s="165"/>
      <c r="I240" s="160" t="s">
        <v>26</v>
      </c>
      <c r="J240" s="161">
        <f t="shared" ref="J240:N240" si="67">SUM(J236:J239)</f>
        <v>110641</v>
      </c>
      <c r="K240" s="161">
        <f t="shared" si="67"/>
        <v>0</v>
      </c>
      <c r="L240" s="161">
        <f t="shared" si="67"/>
        <v>0</v>
      </c>
      <c r="M240" s="161">
        <f t="shared" si="67"/>
        <v>0</v>
      </c>
      <c r="N240" s="161">
        <f t="shared" si="67"/>
        <v>0</v>
      </c>
      <c r="O240" s="161">
        <f>SUM(O236:O239)</f>
        <v>0</v>
      </c>
      <c r="P240" s="161">
        <f t="shared" ref="P240:W240" si="68">SUM(P236:P239)</f>
        <v>0</v>
      </c>
      <c r="Q240" s="161">
        <f t="shared" si="68"/>
        <v>0</v>
      </c>
      <c r="R240" s="161">
        <f t="shared" si="68"/>
        <v>0</v>
      </c>
      <c r="S240" s="161">
        <f t="shared" si="68"/>
        <v>0</v>
      </c>
      <c r="T240" s="161">
        <f t="shared" si="68"/>
        <v>0</v>
      </c>
      <c r="U240" s="161">
        <f t="shared" si="68"/>
        <v>0</v>
      </c>
      <c r="V240" s="161">
        <f t="shared" si="68"/>
        <v>0</v>
      </c>
      <c r="W240" s="161">
        <f t="shared" si="68"/>
        <v>0</v>
      </c>
      <c r="X240" s="483"/>
      <c r="Y240" s="142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51">
        <v>5</v>
      </c>
      <c r="B241" s="380"/>
      <c r="C241" s="379">
        <v>2007</v>
      </c>
      <c r="D241" s="379">
        <v>2026</v>
      </c>
      <c r="E241" s="469" t="s">
        <v>27</v>
      </c>
      <c r="F241" s="419">
        <f>X241</f>
        <v>0</v>
      </c>
      <c r="G241" s="468" t="s">
        <v>49</v>
      </c>
      <c r="H241" s="170">
        <v>6050</v>
      </c>
      <c r="I241" s="155" t="s">
        <v>28</v>
      </c>
      <c r="J241" s="164">
        <v>683584</v>
      </c>
      <c r="K241" s="164">
        <v>26353</v>
      </c>
      <c r="L241" s="156"/>
      <c r="M241" s="156"/>
      <c r="N241" s="158"/>
      <c r="O241" s="123"/>
      <c r="P241" s="294"/>
      <c r="Q241" s="185"/>
      <c r="R241" s="185"/>
      <c r="S241" s="185"/>
      <c r="T241" s="185"/>
      <c r="U241" s="185"/>
      <c r="V241" s="185"/>
      <c r="W241" s="185"/>
      <c r="X241" s="364">
        <f>SUM(L245:W245)</f>
        <v>0</v>
      </c>
      <c r="Y241" s="141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2.75" hidden="1" customHeight="1">
      <c r="A242" s="351"/>
      <c r="B242" s="380"/>
      <c r="C242" s="379"/>
      <c r="D242" s="379"/>
      <c r="E242" s="469"/>
      <c r="F242" s="419"/>
      <c r="G242" s="468"/>
      <c r="H242" s="170"/>
      <c r="I242" s="155" t="s">
        <v>31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64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12.75" hidden="1" customHeight="1">
      <c r="A243" s="351"/>
      <c r="B243" s="380"/>
      <c r="C243" s="379"/>
      <c r="D243" s="379"/>
      <c r="E243" s="469"/>
      <c r="F243" s="419"/>
      <c r="G243" s="468"/>
      <c r="H243" s="170"/>
      <c r="I243" s="155" t="s">
        <v>30</v>
      </c>
      <c r="J243" s="157"/>
      <c r="K243" s="157"/>
      <c r="L243" s="157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364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5" hidden="1" customHeight="1">
      <c r="A244" s="351"/>
      <c r="B244" s="380"/>
      <c r="C244" s="379"/>
      <c r="D244" s="379"/>
      <c r="E244" s="469"/>
      <c r="F244" s="419"/>
      <c r="G244" s="468"/>
      <c r="H244" s="170"/>
      <c r="I244" s="155" t="s">
        <v>50</v>
      </c>
      <c r="J244" s="157"/>
      <c r="K244" s="157"/>
      <c r="L244" s="157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364"/>
      <c r="Y244" s="40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5.25" hidden="1" customHeight="1">
      <c r="A245" s="351"/>
      <c r="B245" s="380"/>
      <c r="C245" s="379"/>
      <c r="D245" s="379"/>
      <c r="E245" s="469"/>
      <c r="F245" s="419"/>
      <c r="G245" s="468"/>
      <c r="H245" s="170"/>
      <c r="I245" s="215" t="s">
        <v>26</v>
      </c>
      <c r="J245" s="216">
        <f t="shared" ref="J245:P245" si="69">SUM(J241:J244)</f>
        <v>683584</v>
      </c>
      <c r="K245" s="161">
        <f t="shared" si="69"/>
        <v>26353</v>
      </c>
      <c r="L245" s="161">
        <f t="shared" si="69"/>
        <v>0</v>
      </c>
      <c r="M245" s="161">
        <f t="shared" si="69"/>
        <v>0</v>
      </c>
      <c r="N245" s="162">
        <f>SUM(N241:N244)</f>
        <v>0</v>
      </c>
      <c r="O245" s="162">
        <f t="shared" si="69"/>
        <v>0</v>
      </c>
      <c r="P245" s="162">
        <f t="shared" si="69"/>
        <v>0</v>
      </c>
      <c r="Q245" s="162"/>
      <c r="R245" s="162"/>
      <c r="S245" s="162"/>
      <c r="T245" s="162"/>
      <c r="U245" s="162"/>
      <c r="V245" s="162"/>
      <c r="W245" s="162"/>
      <c r="X245" s="364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51">
        <v>7</v>
      </c>
      <c r="B246" s="377" t="s">
        <v>212</v>
      </c>
      <c r="C246" s="379">
        <v>2021</v>
      </c>
      <c r="D246" s="379">
        <v>2030</v>
      </c>
      <c r="E246" s="360" t="s">
        <v>258</v>
      </c>
      <c r="F246" s="419">
        <f>36440+X246</f>
        <v>2336440</v>
      </c>
      <c r="G246" s="385">
        <v>60016</v>
      </c>
      <c r="H246" s="170">
        <v>6050</v>
      </c>
      <c r="I246" s="155" t="s">
        <v>28</v>
      </c>
      <c r="J246" s="164">
        <v>44743</v>
      </c>
      <c r="K246" s="167"/>
      <c r="L246" s="164">
        <v>0</v>
      </c>
      <c r="M246" s="267"/>
      <c r="N246" s="156"/>
      <c r="O246" s="156"/>
      <c r="P246" s="156">
        <v>1000000</v>
      </c>
      <c r="Q246" s="156">
        <v>320000</v>
      </c>
      <c r="R246" s="164">
        <v>280000</v>
      </c>
      <c r="S246" s="164">
        <v>700000</v>
      </c>
      <c r="T246" s="184"/>
      <c r="U246" s="208"/>
      <c r="V246" s="208"/>
      <c r="W246" s="208"/>
      <c r="X246" s="364">
        <f>SUM(M250:W250)</f>
        <v>2300000</v>
      </c>
      <c r="Y246" s="141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51"/>
      <c r="B247" s="377"/>
      <c r="C247" s="379"/>
      <c r="D247" s="379"/>
      <c r="E247" s="360"/>
      <c r="F247" s="419"/>
      <c r="G247" s="385"/>
      <c r="H247" s="170"/>
      <c r="I247" s="155" t="s">
        <v>31</v>
      </c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364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51"/>
      <c r="B248" s="377"/>
      <c r="C248" s="379"/>
      <c r="D248" s="379"/>
      <c r="E248" s="360"/>
      <c r="F248" s="419"/>
      <c r="G248" s="385"/>
      <c r="H248" s="170"/>
      <c r="I248" s="155" t="s">
        <v>30</v>
      </c>
      <c r="J248" s="208"/>
      <c r="K248" s="208"/>
      <c r="L248" s="208"/>
      <c r="M248" s="208"/>
      <c r="N248" s="208"/>
      <c r="O248" s="208"/>
      <c r="P248" s="208"/>
      <c r="Q248" s="208"/>
      <c r="R248" s="157"/>
      <c r="S248" s="157"/>
      <c r="T248" s="208"/>
      <c r="U248" s="208"/>
      <c r="V248" s="208"/>
      <c r="W248" s="208"/>
      <c r="X248" s="364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51"/>
      <c r="B249" s="377"/>
      <c r="C249" s="379"/>
      <c r="D249" s="379"/>
      <c r="E249" s="360"/>
      <c r="F249" s="419"/>
      <c r="G249" s="385"/>
      <c r="H249" s="170"/>
      <c r="I249" s="155" t="s">
        <v>78</v>
      </c>
      <c r="J249" s="208"/>
      <c r="K249" s="208"/>
      <c r="L249" s="208"/>
      <c r="M249" s="208"/>
      <c r="N249" s="217"/>
      <c r="O249" s="217"/>
      <c r="P249" s="217"/>
      <c r="Q249" s="217"/>
      <c r="R249" s="167"/>
      <c r="S249" s="167"/>
      <c r="T249" s="217"/>
      <c r="U249" s="217"/>
      <c r="V249" s="217"/>
      <c r="W249" s="217"/>
      <c r="X249" s="364"/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1.25" customHeight="1">
      <c r="A250" s="351"/>
      <c r="B250" s="377"/>
      <c r="C250" s="379"/>
      <c r="D250" s="379"/>
      <c r="E250" s="360"/>
      <c r="F250" s="419"/>
      <c r="G250" s="385"/>
      <c r="H250" s="170"/>
      <c r="I250" s="160" t="s">
        <v>26</v>
      </c>
      <c r="J250" s="161">
        <f t="shared" ref="J250:M250" si="70">SUM(J246:J249)</f>
        <v>44743</v>
      </c>
      <c r="K250" s="161">
        <f t="shared" si="70"/>
        <v>0</v>
      </c>
      <c r="L250" s="161">
        <f t="shared" si="70"/>
        <v>0</v>
      </c>
      <c r="M250" s="161">
        <f t="shared" si="70"/>
        <v>0</v>
      </c>
      <c r="N250" s="161">
        <f>SUM(N246:N248)</f>
        <v>0</v>
      </c>
      <c r="O250" s="161">
        <f>SUM(O246:O248)</f>
        <v>0</v>
      </c>
      <c r="P250" s="161">
        <f>SUM(P246:P248)</f>
        <v>1000000</v>
      </c>
      <c r="Q250" s="161">
        <f>SUM(Q246:Q248)</f>
        <v>320000</v>
      </c>
      <c r="R250" s="161">
        <f t="shared" ref="R250:S250" si="71">SUM(R246:R248)</f>
        <v>280000</v>
      </c>
      <c r="S250" s="161">
        <f t="shared" si="71"/>
        <v>700000</v>
      </c>
      <c r="T250" s="161"/>
      <c r="U250" s="161"/>
      <c r="V250" s="161"/>
      <c r="W250" s="161"/>
      <c r="X250" s="364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51">
        <v>8</v>
      </c>
      <c r="B251" s="377" t="s">
        <v>209</v>
      </c>
      <c r="C251" s="379">
        <v>2023</v>
      </c>
      <c r="D251" s="434">
        <v>2025</v>
      </c>
      <c r="E251" s="360" t="s">
        <v>258</v>
      </c>
      <c r="F251" s="419">
        <f>X251+57825</f>
        <v>1619832</v>
      </c>
      <c r="G251" s="385">
        <v>60016</v>
      </c>
      <c r="H251" s="170">
        <v>6050</v>
      </c>
      <c r="I251" s="155" t="s">
        <v>28</v>
      </c>
      <c r="J251" s="164">
        <f>403998</f>
        <v>403998</v>
      </c>
      <c r="K251" s="167"/>
      <c r="L251" s="164"/>
      <c r="M251" s="323"/>
      <c r="N251" s="157">
        <v>0</v>
      </c>
      <c r="O251" s="240"/>
      <c r="P251" s="164"/>
      <c r="Q251" s="157"/>
      <c r="R251" s="157"/>
      <c r="S251" s="157"/>
      <c r="T251" s="157"/>
      <c r="U251" s="157"/>
      <c r="V251" s="157"/>
      <c r="W251" s="157"/>
      <c r="X251" s="364">
        <f>SUM(L255:W255)</f>
        <v>1562007</v>
      </c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5.75" customHeight="1">
      <c r="A252" s="351"/>
      <c r="B252" s="377"/>
      <c r="C252" s="379"/>
      <c r="D252" s="434"/>
      <c r="E252" s="360"/>
      <c r="F252" s="419"/>
      <c r="G252" s="385"/>
      <c r="H252" s="170">
        <v>6370</v>
      </c>
      <c r="I252" s="155" t="s">
        <v>177</v>
      </c>
      <c r="J252" s="158"/>
      <c r="K252" s="158"/>
      <c r="L252" s="158"/>
      <c r="M252" s="157"/>
      <c r="N252" s="157">
        <v>1562007</v>
      </c>
      <c r="O252" s="158"/>
      <c r="P252" s="158"/>
      <c r="Q252" s="158"/>
      <c r="R252" s="158"/>
      <c r="S252" s="158"/>
      <c r="T252" s="158"/>
      <c r="U252" s="158"/>
      <c r="V252" s="158"/>
      <c r="W252" s="158"/>
      <c r="X252" s="364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51"/>
      <c r="B253" s="377"/>
      <c r="C253" s="379"/>
      <c r="D253" s="434"/>
      <c r="E253" s="360"/>
      <c r="F253" s="419"/>
      <c r="G253" s="385"/>
      <c r="H253" s="170"/>
      <c r="I253" s="155" t="s">
        <v>30</v>
      </c>
      <c r="J253" s="158"/>
      <c r="K253" s="158"/>
      <c r="L253" s="158"/>
      <c r="M253" s="157"/>
      <c r="N253" s="157"/>
      <c r="O253" s="158"/>
      <c r="P253" s="158"/>
      <c r="Q253" s="158"/>
      <c r="R253" s="158"/>
      <c r="S253" s="158"/>
      <c r="T253" s="158"/>
      <c r="U253" s="158"/>
      <c r="V253" s="158"/>
      <c r="W253" s="158"/>
      <c r="X253" s="364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51"/>
      <c r="B254" s="377"/>
      <c r="C254" s="379"/>
      <c r="D254" s="434"/>
      <c r="E254" s="360"/>
      <c r="F254" s="419"/>
      <c r="G254" s="385"/>
      <c r="H254" s="170"/>
      <c r="I254" s="155" t="s">
        <v>33</v>
      </c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364"/>
      <c r="Y254" s="40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51"/>
      <c r="B255" s="377"/>
      <c r="C255" s="379"/>
      <c r="D255" s="434"/>
      <c r="E255" s="360"/>
      <c r="F255" s="419"/>
      <c r="G255" s="385"/>
      <c r="H255" s="170"/>
      <c r="I255" s="160" t="s">
        <v>26</v>
      </c>
      <c r="J255" s="161">
        <f>SUM(J251:J254)</f>
        <v>403998</v>
      </c>
      <c r="K255" s="161">
        <f t="shared" ref="K255" si="72">SUM(K251:K254)</f>
        <v>0</v>
      </c>
      <c r="L255" s="161">
        <f>SUM(L251:L254)</f>
        <v>0</v>
      </c>
      <c r="M255" s="161">
        <f t="shared" ref="M255:N255" si="73">SUM(M251:M254)</f>
        <v>0</v>
      </c>
      <c r="N255" s="161">
        <f t="shared" si="73"/>
        <v>1562007</v>
      </c>
      <c r="O255" s="162">
        <f>SUM(O251:O254)</f>
        <v>0</v>
      </c>
      <c r="P255" s="162">
        <f>SUM(P251:P254)</f>
        <v>0</v>
      </c>
      <c r="Q255" s="162"/>
      <c r="R255" s="162"/>
      <c r="S255" s="162"/>
      <c r="T255" s="162"/>
      <c r="U255" s="162"/>
      <c r="V255" s="162"/>
      <c r="W255" s="162"/>
      <c r="X255" s="364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51">
        <v>9</v>
      </c>
      <c r="B256" s="377" t="s">
        <v>211</v>
      </c>
      <c r="C256" s="379">
        <v>2024</v>
      </c>
      <c r="D256" s="379">
        <v>2027</v>
      </c>
      <c r="E256" s="360" t="s">
        <v>258</v>
      </c>
      <c r="F256" s="419">
        <f>X256</f>
        <v>835000</v>
      </c>
      <c r="G256" s="385">
        <v>60016</v>
      </c>
      <c r="H256" s="170">
        <v>6050</v>
      </c>
      <c r="I256" s="155" t="s">
        <v>28</v>
      </c>
      <c r="J256" s="164">
        <f>403998</f>
        <v>403998</v>
      </c>
      <c r="K256" s="167"/>
      <c r="L256" s="164"/>
      <c r="M256" s="157"/>
      <c r="N256" s="164">
        <v>35000</v>
      </c>
      <c r="O256" s="164">
        <v>100000</v>
      </c>
      <c r="P256" s="164">
        <v>700000</v>
      </c>
      <c r="Q256" s="157"/>
      <c r="R256" s="157"/>
      <c r="S256" s="157"/>
      <c r="T256" s="157"/>
      <c r="U256" s="157"/>
      <c r="V256" s="157"/>
      <c r="W256" s="157"/>
      <c r="X256" s="364">
        <f>SUM(L260:W260)</f>
        <v>835000</v>
      </c>
      <c r="Y256" s="141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51"/>
      <c r="B257" s="377"/>
      <c r="C257" s="379"/>
      <c r="D257" s="379"/>
      <c r="E257" s="360"/>
      <c r="F257" s="419"/>
      <c r="G257" s="385"/>
      <c r="H257" s="170"/>
      <c r="I257" s="155" t="s">
        <v>31</v>
      </c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364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51"/>
      <c r="B258" s="377"/>
      <c r="C258" s="379"/>
      <c r="D258" s="379"/>
      <c r="E258" s="360"/>
      <c r="F258" s="419"/>
      <c r="G258" s="385"/>
      <c r="H258" s="170"/>
      <c r="I258" s="155" t="s">
        <v>30</v>
      </c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364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1.25" customHeight="1">
      <c r="A259" s="351"/>
      <c r="B259" s="377"/>
      <c r="C259" s="379"/>
      <c r="D259" s="379"/>
      <c r="E259" s="360"/>
      <c r="F259" s="419"/>
      <c r="G259" s="385"/>
      <c r="H259" s="170"/>
      <c r="I259" s="155" t="s">
        <v>33</v>
      </c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364"/>
      <c r="Y259" s="40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5" customHeight="1">
      <c r="A260" s="351"/>
      <c r="B260" s="377"/>
      <c r="C260" s="379"/>
      <c r="D260" s="379"/>
      <c r="E260" s="360"/>
      <c r="F260" s="419"/>
      <c r="G260" s="385"/>
      <c r="H260" s="170"/>
      <c r="I260" s="160" t="s">
        <v>26</v>
      </c>
      <c r="J260" s="161">
        <f>SUM(J256:J259)</f>
        <v>403998</v>
      </c>
      <c r="K260" s="161">
        <f t="shared" ref="K260:N260" si="74">SUM(K256:K259)</f>
        <v>0</v>
      </c>
      <c r="L260" s="161">
        <f>SUM(L256:L259)</f>
        <v>0</v>
      </c>
      <c r="M260" s="161">
        <f t="shared" si="74"/>
        <v>0</v>
      </c>
      <c r="N260" s="161">
        <f t="shared" si="74"/>
        <v>35000</v>
      </c>
      <c r="O260" s="162">
        <f>SUM(O256:O259)</f>
        <v>100000</v>
      </c>
      <c r="P260" s="162">
        <f>SUM(P256:P259)</f>
        <v>700000</v>
      </c>
      <c r="Q260" s="162"/>
      <c r="R260" s="162"/>
      <c r="S260" s="162"/>
      <c r="T260" s="162"/>
      <c r="U260" s="162"/>
      <c r="V260" s="162"/>
      <c r="W260" s="162"/>
      <c r="X260" s="364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51">
        <v>10</v>
      </c>
      <c r="B261" s="521" t="s">
        <v>230</v>
      </c>
      <c r="C261" s="434">
        <v>2008</v>
      </c>
      <c r="D261" s="371">
        <v>2032</v>
      </c>
      <c r="E261" s="360" t="s">
        <v>258</v>
      </c>
      <c r="F261" s="419">
        <f>3664266+X261</f>
        <v>4274266</v>
      </c>
      <c r="G261" s="385">
        <v>60016</v>
      </c>
      <c r="H261" s="154">
        <v>6050</v>
      </c>
      <c r="I261" s="155" t="s">
        <v>28</v>
      </c>
      <c r="J261" s="164">
        <v>330510</v>
      </c>
      <c r="K261" s="164">
        <v>45000</v>
      </c>
      <c r="L261" s="164"/>
      <c r="M261" s="156"/>
      <c r="O261" s="156"/>
      <c r="P261" s="188"/>
      <c r="Q261" s="188"/>
      <c r="R261" s="188"/>
      <c r="S261" s="188">
        <v>0</v>
      </c>
      <c r="T261" s="188">
        <v>260000</v>
      </c>
      <c r="U261" s="188">
        <v>350000</v>
      </c>
      <c r="V261" s="188"/>
      <c r="W261" s="188"/>
      <c r="X261" s="364">
        <f>SUM(L265:W265)</f>
        <v>610000</v>
      </c>
      <c r="Y261" s="141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51"/>
      <c r="B262" s="521"/>
      <c r="C262" s="434"/>
      <c r="D262" s="371"/>
      <c r="E262" s="360"/>
      <c r="F262" s="419"/>
      <c r="G262" s="385"/>
      <c r="H262" s="154"/>
      <c r="I262" s="155" t="s">
        <v>31</v>
      </c>
      <c r="J262" s="164"/>
      <c r="K262" s="164"/>
      <c r="L262" s="164"/>
      <c r="M262" s="156"/>
      <c r="N262" s="156"/>
      <c r="O262" s="156"/>
      <c r="P262" s="188"/>
      <c r="Q262" s="188"/>
      <c r="R262" s="188"/>
      <c r="S262" s="188"/>
      <c r="T262" s="188"/>
      <c r="U262" s="188"/>
      <c r="V262" s="188"/>
      <c r="W262" s="188"/>
      <c r="X262" s="364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51"/>
      <c r="B263" s="521"/>
      <c r="C263" s="434"/>
      <c r="D263" s="371"/>
      <c r="E263" s="360"/>
      <c r="F263" s="419"/>
      <c r="G263" s="385"/>
      <c r="H263" s="154"/>
      <c r="I263" s="155" t="s">
        <v>30</v>
      </c>
      <c r="J263" s="158"/>
      <c r="K263" s="158"/>
      <c r="L263" s="158"/>
      <c r="M263" s="158"/>
      <c r="N263" s="158"/>
      <c r="O263" s="158"/>
      <c r="P263" s="218"/>
      <c r="Q263" s="218"/>
      <c r="R263" s="218"/>
      <c r="S263" s="218"/>
      <c r="T263" s="218"/>
      <c r="U263" s="218"/>
      <c r="V263" s="218"/>
      <c r="W263" s="218"/>
      <c r="X263" s="364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5" customHeight="1">
      <c r="A264" s="351"/>
      <c r="B264" s="521"/>
      <c r="C264" s="434"/>
      <c r="D264" s="371"/>
      <c r="E264" s="360"/>
      <c r="F264" s="419"/>
      <c r="G264" s="385"/>
      <c r="H264" s="154"/>
      <c r="I264" s="166" t="s">
        <v>120</v>
      </c>
      <c r="J264" s="156"/>
      <c r="K264" s="156"/>
      <c r="L264" s="156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364"/>
      <c r="Y264" s="40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8.75" customHeight="1">
      <c r="A265" s="351"/>
      <c r="B265" s="521"/>
      <c r="C265" s="434"/>
      <c r="D265" s="371"/>
      <c r="E265" s="360"/>
      <c r="F265" s="419"/>
      <c r="G265" s="385"/>
      <c r="H265" s="154"/>
      <c r="I265" s="160" t="s">
        <v>26</v>
      </c>
      <c r="J265" s="161">
        <f t="shared" ref="J265:W265" si="75">SUM(J261:J264)</f>
        <v>330510</v>
      </c>
      <c r="K265" s="161">
        <f t="shared" si="75"/>
        <v>45000</v>
      </c>
      <c r="L265" s="161">
        <f t="shared" si="75"/>
        <v>0</v>
      </c>
      <c r="M265" s="219">
        <f t="shared" si="75"/>
        <v>0</v>
      </c>
      <c r="N265" s="161">
        <f t="shared" si="75"/>
        <v>0</v>
      </c>
      <c r="O265" s="219">
        <f>SUM(O261:O264)</f>
        <v>0</v>
      </c>
      <c r="P265" s="219">
        <f t="shared" si="75"/>
        <v>0</v>
      </c>
      <c r="Q265" s="219">
        <f t="shared" si="75"/>
        <v>0</v>
      </c>
      <c r="R265" s="219">
        <f t="shared" si="75"/>
        <v>0</v>
      </c>
      <c r="S265" s="219">
        <f t="shared" si="75"/>
        <v>0</v>
      </c>
      <c r="T265" s="219">
        <f t="shared" si="75"/>
        <v>260000</v>
      </c>
      <c r="U265" s="219">
        <f t="shared" si="75"/>
        <v>350000</v>
      </c>
      <c r="V265" s="219">
        <f t="shared" si="75"/>
        <v>0</v>
      </c>
      <c r="W265" s="219">
        <f t="shared" si="75"/>
        <v>0</v>
      </c>
      <c r="X265" s="364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359">
        <v>11</v>
      </c>
      <c r="B266" s="377" t="s">
        <v>231</v>
      </c>
      <c r="C266" s="434">
        <v>2014</v>
      </c>
      <c r="D266" s="379">
        <v>2031</v>
      </c>
      <c r="E266" s="360" t="s">
        <v>258</v>
      </c>
      <c r="F266" s="419">
        <f>360877+X266</f>
        <v>2860877</v>
      </c>
      <c r="G266" s="461">
        <v>60016</v>
      </c>
      <c r="H266" s="154">
        <v>6050</v>
      </c>
      <c r="I266" s="155" t="s">
        <v>28</v>
      </c>
      <c r="J266" s="157"/>
      <c r="K266" s="164">
        <v>97000</v>
      </c>
      <c r="L266" s="164"/>
      <c r="M266" s="164"/>
      <c r="O266" s="243"/>
      <c r="P266" s="164">
        <v>800000</v>
      </c>
      <c r="Q266" s="164">
        <v>300000</v>
      </c>
      <c r="R266" s="164">
        <v>200000</v>
      </c>
      <c r="S266" s="164">
        <v>500000</v>
      </c>
      <c r="T266" s="164">
        <v>700000</v>
      </c>
      <c r="U266" s="164">
        <v>0</v>
      </c>
      <c r="V266" s="164"/>
      <c r="W266" s="157"/>
      <c r="X266" s="364">
        <f>SUM(L270:W270)</f>
        <v>2500000</v>
      </c>
      <c r="Y266" s="141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359"/>
      <c r="B267" s="377"/>
      <c r="C267" s="434"/>
      <c r="D267" s="379"/>
      <c r="E267" s="360"/>
      <c r="F267" s="419"/>
      <c r="G267" s="461"/>
      <c r="H267" s="154"/>
      <c r="I267" s="155" t="s">
        <v>31</v>
      </c>
      <c r="J267" s="157"/>
      <c r="K267" s="157"/>
      <c r="L267" s="157"/>
      <c r="M267" s="157"/>
      <c r="N267" s="157"/>
      <c r="O267" s="164"/>
      <c r="P267" s="164"/>
      <c r="Q267" s="164"/>
      <c r="R267" s="164"/>
      <c r="S267" s="164"/>
      <c r="T267" s="164"/>
      <c r="U267" s="164"/>
      <c r="V267" s="157"/>
      <c r="W267" s="157"/>
      <c r="X267" s="364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359"/>
      <c r="B268" s="377"/>
      <c r="C268" s="434"/>
      <c r="D268" s="379"/>
      <c r="E268" s="360"/>
      <c r="F268" s="419"/>
      <c r="G268" s="461"/>
      <c r="H268" s="154"/>
      <c r="I268" s="155" t="s">
        <v>30</v>
      </c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364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" customHeight="1">
      <c r="A269" s="359"/>
      <c r="B269" s="377"/>
      <c r="C269" s="434"/>
      <c r="D269" s="379"/>
      <c r="E269" s="360"/>
      <c r="F269" s="419"/>
      <c r="G269" s="461"/>
      <c r="H269" s="154"/>
      <c r="I269" s="155" t="s">
        <v>33</v>
      </c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364"/>
      <c r="Y269" s="40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5" customHeight="1">
      <c r="A270" s="359"/>
      <c r="B270" s="377"/>
      <c r="C270" s="434"/>
      <c r="D270" s="379"/>
      <c r="E270" s="360"/>
      <c r="F270" s="419"/>
      <c r="G270" s="461"/>
      <c r="H270" s="154"/>
      <c r="I270" s="160" t="s">
        <v>26</v>
      </c>
      <c r="J270" s="161">
        <f t="shared" ref="J270:N270" si="76">SUM(J266:J269)</f>
        <v>0</v>
      </c>
      <c r="K270" s="161">
        <f t="shared" si="76"/>
        <v>97000</v>
      </c>
      <c r="L270" s="161">
        <f t="shared" si="76"/>
        <v>0</v>
      </c>
      <c r="M270" s="161">
        <f>SUM(M266:M269)</f>
        <v>0</v>
      </c>
      <c r="N270" s="161">
        <f t="shared" si="76"/>
        <v>0</v>
      </c>
      <c r="O270" s="161">
        <f>SUM(O266:O269)</f>
        <v>0</v>
      </c>
      <c r="P270" s="162">
        <f>SUM(P266:P269)</f>
        <v>800000</v>
      </c>
      <c r="Q270" s="161">
        <f t="shared" ref="Q270:U270" si="77">SUM(Q266:Q269)</f>
        <v>300000</v>
      </c>
      <c r="R270" s="161">
        <f t="shared" si="77"/>
        <v>200000</v>
      </c>
      <c r="S270" s="161">
        <f t="shared" si="77"/>
        <v>500000</v>
      </c>
      <c r="T270" s="161">
        <f t="shared" si="77"/>
        <v>700000</v>
      </c>
      <c r="U270" s="161">
        <f t="shared" si="77"/>
        <v>0</v>
      </c>
      <c r="V270" s="162"/>
      <c r="W270" s="162"/>
      <c r="X270" s="364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359">
        <v>12</v>
      </c>
      <c r="B271" s="377" t="s">
        <v>51</v>
      </c>
      <c r="C271" s="379">
        <v>2014</v>
      </c>
      <c r="D271" s="379">
        <v>2030</v>
      </c>
      <c r="E271" s="360" t="s">
        <v>258</v>
      </c>
      <c r="F271" s="386">
        <f>206810+X271</f>
        <v>1306810</v>
      </c>
      <c r="G271" s="385">
        <v>60016</v>
      </c>
      <c r="H271" s="170">
        <v>6050</v>
      </c>
      <c r="I271" s="155" t="s">
        <v>28</v>
      </c>
      <c r="J271" s="157"/>
      <c r="K271" s="167"/>
      <c r="L271" s="242"/>
      <c r="M271" s="220">
        <v>0</v>
      </c>
      <c r="N271" s="242"/>
      <c r="O271" s="242">
        <v>0</v>
      </c>
      <c r="P271" s="242">
        <v>300000</v>
      </c>
      <c r="Q271" s="242">
        <v>400000</v>
      </c>
      <c r="R271" s="242">
        <v>150000</v>
      </c>
      <c r="S271" s="242">
        <v>250000</v>
      </c>
      <c r="T271" s="167"/>
      <c r="U271" s="167"/>
      <c r="V271" s="167"/>
      <c r="W271" s="167"/>
      <c r="X271" s="364">
        <f>SUM(L275:W275)</f>
        <v>1100000</v>
      </c>
      <c r="Y271" s="141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359"/>
      <c r="B272" s="377"/>
      <c r="C272" s="379"/>
      <c r="D272" s="379"/>
      <c r="E272" s="360"/>
      <c r="F272" s="386"/>
      <c r="G272" s="385"/>
      <c r="H272" s="170"/>
      <c r="I272" s="155" t="s">
        <v>31</v>
      </c>
      <c r="J272" s="157"/>
      <c r="K272" s="157"/>
      <c r="L272" s="157"/>
      <c r="M272" s="157"/>
      <c r="N272" s="157"/>
      <c r="O272" s="157"/>
      <c r="P272" s="164"/>
      <c r="Q272" s="164"/>
      <c r="R272" s="164"/>
      <c r="S272" s="164"/>
      <c r="T272" s="157"/>
      <c r="U272" s="157"/>
      <c r="V272" s="157"/>
      <c r="W272" s="157"/>
      <c r="X272" s="364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.75" customHeight="1">
      <c r="A273" s="359"/>
      <c r="B273" s="377"/>
      <c r="C273" s="379"/>
      <c r="D273" s="379"/>
      <c r="E273" s="360"/>
      <c r="F273" s="386"/>
      <c r="G273" s="385"/>
      <c r="H273" s="170"/>
      <c r="I273" s="155" t="s">
        <v>30</v>
      </c>
      <c r="J273" s="158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364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12.75" customHeight="1">
      <c r="A274" s="359"/>
      <c r="B274" s="377"/>
      <c r="C274" s="379"/>
      <c r="D274" s="379"/>
      <c r="E274" s="360"/>
      <c r="F274" s="386"/>
      <c r="G274" s="385"/>
      <c r="H274" s="170"/>
      <c r="I274" s="155" t="s">
        <v>33</v>
      </c>
      <c r="J274" s="158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364"/>
      <c r="Y274" s="40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359"/>
      <c r="B275" s="377"/>
      <c r="C275" s="379"/>
      <c r="D275" s="379"/>
      <c r="E275" s="360"/>
      <c r="F275" s="386"/>
      <c r="G275" s="385"/>
      <c r="H275" s="170"/>
      <c r="I275" s="160" t="s">
        <v>26</v>
      </c>
      <c r="J275" s="161">
        <f t="shared" ref="J275:L275" si="78">SUM(J271:J274)</f>
        <v>0</v>
      </c>
      <c r="K275" s="161">
        <f t="shared" si="78"/>
        <v>0</v>
      </c>
      <c r="L275" s="161">
        <f t="shared" si="78"/>
        <v>0</v>
      </c>
      <c r="M275" s="161">
        <f t="shared" ref="M275:S275" si="79">SUM(M271:M274)</f>
        <v>0</v>
      </c>
      <c r="N275" s="162">
        <f t="shared" si="79"/>
        <v>0</v>
      </c>
      <c r="O275" s="162">
        <f t="shared" si="79"/>
        <v>0</v>
      </c>
      <c r="P275" s="162">
        <f t="shared" si="79"/>
        <v>300000</v>
      </c>
      <c r="Q275" s="162">
        <f t="shared" si="79"/>
        <v>400000</v>
      </c>
      <c r="R275" s="162">
        <f t="shared" si="79"/>
        <v>150000</v>
      </c>
      <c r="S275" s="162">
        <f t="shared" si="79"/>
        <v>250000</v>
      </c>
      <c r="T275" s="162"/>
      <c r="U275" s="162"/>
      <c r="V275" s="162"/>
      <c r="W275" s="162"/>
      <c r="X275" s="364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51">
        <v>13</v>
      </c>
      <c r="B276" s="378" t="s">
        <v>146</v>
      </c>
      <c r="C276" s="379">
        <v>2024</v>
      </c>
      <c r="D276" s="379">
        <v>2032</v>
      </c>
      <c r="E276" s="360" t="s">
        <v>258</v>
      </c>
      <c r="F276" s="419">
        <f>X276</f>
        <v>750000</v>
      </c>
      <c r="G276" s="385">
        <v>60016</v>
      </c>
      <c r="H276" s="170">
        <v>6050</v>
      </c>
      <c r="I276" s="155" t="s">
        <v>28</v>
      </c>
      <c r="J276" s="156">
        <v>680000</v>
      </c>
      <c r="K276" s="167"/>
      <c r="L276" s="167"/>
      <c r="M276" s="167"/>
      <c r="N276" s="167"/>
      <c r="O276" s="164"/>
      <c r="P276" s="164"/>
      <c r="Q276" s="157"/>
      <c r="R276" s="164"/>
      <c r="S276" s="164">
        <v>50000</v>
      </c>
      <c r="T276" s="164">
        <v>350000</v>
      </c>
      <c r="U276" s="164">
        <v>350000</v>
      </c>
      <c r="V276" s="157"/>
      <c r="W276" s="157"/>
      <c r="X276" s="364">
        <f>SUM(L280:W280)</f>
        <v>750000</v>
      </c>
      <c r="Y276" s="141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51"/>
      <c r="B277" s="378"/>
      <c r="C277" s="379"/>
      <c r="D277" s="379"/>
      <c r="E277" s="360"/>
      <c r="F277" s="419"/>
      <c r="G277" s="385"/>
      <c r="H277" s="170"/>
      <c r="I277" s="155" t="s">
        <v>31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64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" customHeight="1">
      <c r="A278" s="351"/>
      <c r="B278" s="378"/>
      <c r="C278" s="379"/>
      <c r="D278" s="379"/>
      <c r="E278" s="360"/>
      <c r="F278" s="419"/>
      <c r="G278" s="385"/>
      <c r="H278" s="170"/>
      <c r="I278" s="155" t="s">
        <v>30</v>
      </c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364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customHeight="1">
      <c r="A279" s="351"/>
      <c r="B279" s="378"/>
      <c r="C279" s="379"/>
      <c r="D279" s="379"/>
      <c r="E279" s="360"/>
      <c r="F279" s="419"/>
      <c r="G279" s="385"/>
      <c r="H279" s="170"/>
      <c r="I279" s="155" t="s">
        <v>32</v>
      </c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364"/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.75" customHeight="1">
      <c r="A280" s="351"/>
      <c r="B280" s="378"/>
      <c r="C280" s="379"/>
      <c r="D280" s="379"/>
      <c r="E280" s="360"/>
      <c r="F280" s="419"/>
      <c r="G280" s="385"/>
      <c r="H280" s="170"/>
      <c r="I280" s="160" t="s">
        <v>26</v>
      </c>
      <c r="J280" s="161">
        <f t="shared" ref="J280:M280" si="80">SUM(J276:J279)</f>
        <v>680000</v>
      </c>
      <c r="K280" s="161">
        <f t="shared" si="80"/>
        <v>0</v>
      </c>
      <c r="L280" s="162">
        <f t="shared" si="80"/>
        <v>0</v>
      </c>
      <c r="M280" s="162">
        <f t="shared" si="80"/>
        <v>0</v>
      </c>
      <c r="N280" s="162">
        <f>SUM(N276:N279)</f>
        <v>0</v>
      </c>
      <c r="O280" s="207">
        <f>SUM(O276:O279)</f>
        <v>0</v>
      </c>
      <c r="P280" s="162">
        <f>SUM(P276:P279)</f>
        <v>0</v>
      </c>
      <c r="Q280" s="162">
        <f t="shared" ref="Q280:W280" si="81">SUM(Q276:Q279)</f>
        <v>0</v>
      </c>
      <c r="R280" s="162">
        <f t="shared" si="81"/>
        <v>0</v>
      </c>
      <c r="S280" s="162">
        <f t="shared" si="81"/>
        <v>50000</v>
      </c>
      <c r="T280" s="162">
        <f t="shared" si="81"/>
        <v>350000</v>
      </c>
      <c r="U280" s="162">
        <f t="shared" si="81"/>
        <v>350000</v>
      </c>
      <c r="V280" s="162">
        <f t="shared" si="81"/>
        <v>0</v>
      </c>
      <c r="W280" s="162">
        <f t="shared" si="81"/>
        <v>0</v>
      </c>
      <c r="X280" s="364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51">
        <v>11</v>
      </c>
      <c r="B281" s="380" t="s">
        <v>182</v>
      </c>
      <c r="C281" s="379">
        <v>2022</v>
      </c>
      <c r="D281" s="379">
        <v>2026</v>
      </c>
      <c r="E281" s="469" t="s">
        <v>27</v>
      </c>
      <c r="F281" s="419">
        <f>X281</f>
        <v>0</v>
      </c>
      <c r="G281" s="385">
        <v>60016</v>
      </c>
      <c r="H281" s="170">
        <v>6050</v>
      </c>
      <c r="I281" s="155" t="s">
        <v>28</v>
      </c>
      <c r="J281" s="164">
        <v>0</v>
      </c>
      <c r="K281" s="157">
        <v>0</v>
      </c>
      <c r="L281" s="164"/>
      <c r="N281" s="93"/>
      <c r="O281" s="100"/>
      <c r="P281" s="100"/>
      <c r="Q281" s="100"/>
      <c r="R281" s="94"/>
      <c r="S281" s="157"/>
      <c r="T281" s="157"/>
      <c r="U281" s="157"/>
      <c r="V281" s="157"/>
      <c r="W281" s="157"/>
      <c r="X281" s="364">
        <f>SUM(L285:W285)</f>
        <v>0</v>
      </c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51"/>
      <c r="B282" s="380"/>
      <c r="C282" s="379"/>
      <c r="D282" s="379"/>
      <c r="E282" s="469"/>
      <c r="F282" s="419"/>
      <c r="G282" s="385"/>
      <c r="H282" s="170"/>
      <c r="I282" s="155" t="s">
        <v>31</v>
      </c>
      <c r="J282" s="157"/>
      <c r="K282" s="157"/>
      <c r="L282" s="157"/>
      <c r="M282" s="158"/>
      <c r="N282" s="158"/>
      <c r="O282" s="95"/>
      <c r="P282" s="95"/>
      <c r="Q282" s="95"/>
      <c r="R282" s="95"/>
      <c r="S282" s="158"/>
      <c r="T282" s="158"/>
      <c r="U282" s="158"/>
      <c r="V282" s="158"/>
      <c r="W282" s="158"/>
      <c r="X282" s="364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2" hidden="1" customHeight="1">
      <c r="A283" s="351"/>
      <c r="B283" s="380"/>
      <c r="C283" s="379"/>
      <c r="D283" s="379"/>
      <c r="E283" s="469"/>
      <c r="F283" s="419"/>
      <c r="G283" s="385"/>
      <c r="H283" s="170"/>
      <c r="I283" s="155" t="s">
        <v>30</v>
      </c>
      <c r="J283" s="158"/>
      <c r="K283" s="158"/>
      <c r="L283" s="158"/>
      <c r="M283" s="158"/>
      <c r="N283" s="158"/>
      <c r="O283" s="95"/>
      <c r="P283" s="95"/>
      <c r="Q283" s="95"/>
      <c r="R283" s="95"/>
      <c r="S283" s="158"/>
      <c r="T283" s="158"/>
      <c r="U283" s="158"/>
      <c r="V283" s="158"/>
      <c r="W283" s="158"/>
      <c r="X283" s="364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2" hidden="1" customHeight="1">
      <c r="A284" s="351"/>
      <c r="B284" s="380"/>
      <c r="C284" s="379"/>
      <c r="D284" s="379"/>
      <c r="E284" s="469"/>
      <c r="F284" s="419"/>
      <c r="G284" s="385"/>
      <c r="H284" s="170"/>
      <c r="I284" s="155" t="s">
        <v>32</v>
      </c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364"/>
      <c r="Y284" s="40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6.5" hidden="1" customHeight="1">
      <c r="A285" s="351"/>
      <c r="B285" s="380"/>
      <c r="C285" s="379"/>
      <c r="D285" s="379"/>
      <c r="E285" s="469"/>
      <c r="F285" s="419"/>
      <c r="G285" s="385"/>
      <c r="H285" s="170"/>
      <c r="I285" s="221" t="s">
        <v>26</v>
      </c>
      <c r="J285" s="162">
        <f t="shared" ref="J285:L285" si="82">SUM(J281:J284)</f>
        <v>0</v>
      </c>
      <c r="K285" s="162">
        <f t="shared" si="82"/>
        <v>0</v>
      </c>
      <c r="L285" s="162">
        <f t="shared" si="82"/>
        <v>0</v>
      </c>
      <c r="M285" s="162">
        <f>SUM(M281:M284)</f>
        <v>0</v>
      </c>
      <c r="N285" s="162">
        <f>SUM(N281:N284)</f>
        <v>0</v>
      </c>
      <c r="O285" s="162">
        <f t="shared" ref="O285" si="83">SUM(O281:O284)</f>
        <v>0</v>
      </c>
      <c r="P285" s="162">
        <f>SUM(P281:P284)</f>
        <v>0</v>
      </c>
      <c r="Q285" s="161">
        <f>SUM(Q281:Q284)</f>
        <v>0</v>
      </c>
      <c r="R285" s="162"/>
      <c r="S285" s="162"/>
      <c r="T285" s="162"/>
      <c r="U285" s="162"/>
      <c r="V285" s="162"/>
      <c r="W285" s="162"/>
      <c r="X285" s="364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51">
        <v>14</v>
      </c>
      <c r="B286" s="377" t="s">
        <v>53</v>
      </c>
      <c r="C286" s="379">
        <v>2014</v>
      </c>
      <c r="D286" s="379">
        <v>2033</v>
      </c>
      <c r="E286" s="360" t="s">
        <v>258</v>
      </c>
      <c r="F286" s="419">
        <f>371212+X286</f>
        <v>921212</v>
      </c>
      <c r="G286" s="385">
        <v>60016</v>
      </c>
      <c r="H286" s="170">
        <v>6050</v>
      </c>
      <c r="I286" s="155" t="s">
        <v>28</v>
      </c>
      <c r="J286" s="164">
        <v>0</v>
      </c>
      <c r="K286" s="157">
        <v>0</v>
      </c>
      <c r="L286" s="164"/>
      <c r="N286" s="157"/>
      <c r="O286" s="156"/>
      <c r="P286" s="156"/>
      <c r="Q286" s="156"/>
      <c r="R286" s="164"/>
      <c r="S286" s="164">
        <v>0</v>
      </c>
      <c r="T286" s="164">
        <v>0</v>
      </c>
      <c r="U286" s="164">
        <v>200000</v>
      </c>
      <c r="V286" s="164">
        <v>350000</v>
      </c>
      <c r="W286" s="157"/>
      <c r="X286" s="364">
        <f>SUM(L290:W290)</f>
        <v>550000</v>
      </c>
      <c r="Y286" s="141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51"/>
      <c r="B287" s="377"/>
      <c r="C287" s="379"/>
      <c r="D287" s="379"/>
      <c r="E287" s="360"/>
      <c r="F287" s="419"/>
      <c r="G287" s="385"/>
      <c r="H287" s="170"/>
      <c r="I287" s="155" t="s">
        <v>31</v>
      </c>
      <c r="J287" s="157"/>
      <c r="K287" s="157"/>
      <c r="L287" s="157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64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3.15" customHeight="1">
      <c r="A288" s="351"/>
      <c r="B288" s="377"/>
      <c r="C288" s="379"/>
      <c r="D288" s="379"/>
      <c r="E288" s="360"/>
      <c r="F288" s="419"/>
      <c r="G288" s="385"/>
      <c r="H288" s="170"/>
      <c r="I288" s="155" t="s">
        <v>30</v>
      </c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364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3.15" customHeight="1">
      <c r="A289" s="351"/>
      <c r="B289" s="377"/>
      <c r="C289" s="379"/>
      <c r="D289" s="379"/>
      <c r="E289" s="360"/>
      <c r="F289" s="419"/>
      <c r="G289" s="385"/>
      <c r="H289" s="170"/>
      <c r="I289" s="155" t="s">
        <v>32</v>
      </c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364"/>
      <c r="Y289" s="40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51"/>
      <c r="B290" s="377"/>
      <c r="C290" s="379"/>
      <c r="D290" s="379"/>
      <c r="E290" s="360"/>
      <c r="F290" s="419"/>
      <c r="G290" s="385"/>
      <c r="H290" s="170"/>
      <c r="I290" s="221" t="s">
        <v>26</v>
      </c>
      <c r="J290" s="162">
        <f t="shared" ref="J290:O290" si="84">SUM(J286:J289)</f>
        <v>0</v>
      </c>
      <c r="K290" s="162">
        <f t="shared" si="84"/>
        <v>0</v>
      </c>
      <c r="L290" s="162">
        <f t="shared" si="84"/>
        <v>0</v>
      </c>
      <c r="M290" s="162">
        <f>SUM(M286:M289)</f>
        <v>0</v>
      </c>
      <c r="N290" s="162">
        <f>SUM(N286:N289)</f>
        <v>0</v>
      </c>
      <c r="O290" s="162">
        <f t="shared" si="84"/>
        <v>0</v>
      </c>
      <c r="P290" s="162">
        <f>SUM(P286:P289)</f>
        <v>0</v>
      </c>
      <c r="Q290" s="161">
        <f>SUM(Q286:Q289)</f>
        <v>0</v>
      </c>
      <c r="R290" s="161">
        <f t="shared" ref="R290:W290" si="85">SUM(R286:R289)</f>
        <v>0</v>
      </c>
      <c r="S290" s="161">
        <f t="shared" si="85"/>
        <v>0</v>
      </c>
      <c r="T290" s="161">
        <f t="shared" si="85"/>
        <v>0</v>
      </c>
      <c r="U290" s="161">
        <f t="shared" si="85"/>
        <v>200000</v>
      </c>
      <c r="V290" s="161">
        <f t="shared" si="85"/>
        <v>350000</v>
      </c>
      <c r="W290" s="161">
        <f t="shared" si="85"/>
        <v>0</v>
      </c>
      <c r="X290" s="364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51">
        <v>15</v>
      </c>
      <c r="B291" s="377" t="s">
        <v>54</v>
      </c>
      <c r="C291" s="379">
        <v>2014</v>
      </c>
      <c r="D291" s="379">
        <v>2032</v>
      </c>
      <c r="E291" s="360" t="s">
        <v>258</v>
      </c>
      <c r="F291" s="419">
        <f>47281+X291</f>
        <v>847281</v>
      </c>
      <c r="G291" s="385">
        <v>60016</v>
      </c>
      <c r="H291" s="170">
        <v>6050</v>
      </c>
      <c r="I291" s="155" t="s">
        <v>28</v>
      </c>
      <c r="J291" s="164"/>
      <c r="K291" s="164"/>
      <c r="L291" s="164">
        <v>0</v>
      </c>
      <c r="M291" s="164"/>
      <c r="N291" s="158"/>
      <c r="O291" s="158"/>
      <c r="P291" s="157"/>
      <c r="Q291" s="164">
        <v>0</v>
      </c>
      <c r="R291" s="164">
        <v>0</v>
      </c>
      <c r="S291" s="164">
        <v>0</v>
      </c>
      <c r="T291" s="164">
        <v>300000</v>
      </c>
      <c r="U291" s="164">
        <v>500000</v>
      </c>
      <c r="V291" s="157"/>
      <c r="W291" s="157"/>
      <c r="X291" s="364">
        <f>SUM(L295:W295)</f>
        <v>800000</v>
      </c>
      <c r="Y291" s="141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51"/>
      <c r="B292" s="377"/>
      <c r="C292" s="379"/>
      <c r="D292" s="379"/>
      <c r="E292" s="360"/>
      <c r="F292" s="419"/>
      <c r="G292" s="385"/>
      <c r="H292" s="170"/>
      <c r="I292" s="155" t="s">
        <v>31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64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75" customHeight="1">
      <c r="A293" s="351"/>
      <c r="B293" s="377"/>
      <c r="C293" s="379"/>
      <c r="D293" s="379"/>
      <c r="E293" s="360"/>
      <c r="F293" s="419"/>
      <c r="G293" s="385"/>
      <c r="H293" s="170"/>
      <c r="I293" s="155" t="s">
        <v>30</v>
      </c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364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2.75" customHeight="1">
      <c r="A294" s="351"/>
      <c r="B294" s="377"/>
      <c r="C294" s="379"/>
      <c r="D294" s="379"/>
      <c r="E294" s="360"/>
      <c r="F294" s="419"/>
      <c r="G294" s="385"/>
      <c r="H294" s="170"/>
      <c r="I294" s="155" t="s">
        <v>32</v>
      </c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364"/>
      <c r="Y294" s="40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2.6" customHeight="1">
      <c r="A295" s="351"/>
      <c r="B295" s="377"/>
      <c r="C295" s="379"/>
      <c r="D295" s="379"/>
      <c r="E295" s="360"/>
      <c r="F295" s="419"/>
      <c r="G295" s="385"/>
      <c r="H295" s="170"/>
      <c r="I295" s="221" t="s">
        <v>26</v>
      </c>
      <c r="J295" s="162">
        <f>SUM(J291:J294)</f>
        <v>0</v>
      </c>
      <c r="K295" s="162">
        <f t="shared" ref="K295:O295" si="86">SUM(K291:K294)</f>
        <v>0</v>
      </c>
      <c r="L295" s="162">
        <f t="shared" si="86"/>
        <v>0</v>
      </c>
      <c r="M295" s="162">
        <f t="shared" si="86"/>
        <v>0</v>
      </c>
      <c r="N295" s="162">
        <f t="shared" si="86"/>
        <v>0</v>
      </c>
      <c r="O295" s="162">
        <f t="shared" si="86"/>
        <v>0</v>
      </c>
      <c r="P295" s="162">
        <f>SUM(P291:P294)</f>
        <v>0</v>
      </c>
      <c r="Q295" s="162">
        <f t="shared" ref="Q295:S295" si="87">SUM(Q291:Q294)</f>
        <v>0</v>
      </c>
      <c r="R295" s="162">
        <f t="shared" si="87"/>
        <v>0</v>
      </c>
      <c r="S295" s="162">
        <f t="shared" si="87"/>
        <v>0</v>
      </c>
      <c r="T295" s="162">
        <f t="shared" ref="T295" si="88">SUM(T291:T294)</f>
        <v>300000</v>
      </c>
      <c r="U295" s="162">
        <f t="shared" ref="U295" si="89">SUM(U291:U294)</f>
        <v>500000</v>
      </c>
      <c r="V295" s="162">
        <f t="shared" ref="V295" si="90">SUM(V291:V294)</f>
        <v>0</v>
      </c>
      <c r="W295" s="162">
        <f t="shared" ref="W295" si="91">SUM(W291:W294)</f>
        <v>0</v>
      </c>
      <c r="X295" s="364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51">
        <v>16</v>
      </c>
      <c r="B296" s="377" t="s">
        <v>238</v>
      </c>
      <c r="C296" s="379">
        <v>2015</v>
      </c>
      <c r="D296" s="371">
        <v>2026</v>
      </c>
      <c r="E296" s="360" t="s">
        <v>258</v>
      </c>
      <c r="F296" s="419">
        <f>634131+X296+35000</f>
        <v>6736802</v>
      </c>
      <c r="G296" s="531">
        <v>60016</v>
      </c>
      <c r="H296" s="170">
        <v>6050</v>
      </c>
      <c r="I296" s="155" t="s">
        <v>28</v>
      </c>
      <c r="J296" s="164">
        <v>262000</v>
      </c>
      <c r="K296" s="164"/>
      <c r="L296" s="164"/>
      <c r="M296" s="164"/>
      <c r="N296" s="337">
        <v>240000</v>
      </c>
      <c r="O296" s="164">
        <v>3300000</v>
      </c>
      <c r="P296" s="164">
        <v>0</v>
      </c>
      <c r="Q296" s="164">
        <v>0</v>
      </c>
      <c r="R296" s="164">
        <v>0</v>
      </c>
      <c r="S296" s="164">
        <v>0</v>
      </c>
      <c r="T296" s="164"/>
      <c r="U296" s="157"/>
      <c r="V296" s="157"/>
      <c r="W296" s="157"/>
      <c r="X296" s="364">
        <f>SUM(L300:W300)</f>
        <v>6067671</v>
      </c>
      <c r="Y296" s="141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51"/>
      <c r="B297" s="377"/>
      <c r="C297" s="379"/>
      <c r="D297" s="371"/>
      <c r="E297" s="360"/>
      <c r="F297" s="419"/>
      <c r="G297" s="532"/>
      <c r="H297" s="170">
        <v>6050</v>
      </c>
      <c r="I297" s="155" t="s">
        <v>31</v>
      </c>
      <c r="J297" s="164"/>
      <c r="K297" s="156"/>
      <c r="L297" s="156"/>
      <c r="M297" s="323"/>
      <c r="N297" s="338">
        <v>2395074</v>
      </c>
      <c r="O297" s="156">
        <v>132597</v>
      </c>
      <c r="P297" s="158"/>
      <c r="Q297" s="158"/>
      <c r="R297" s="158"/>
      <c r="S297" s="158"/>
      <c r="T297" s="158"/>
      <c r="U297" s="158"/>
      <c r="V297" s="158"/>
      <c r="W297" s="158"/>
      <c r="X297" s="364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51"/>
      <c r="B298" s="377"/>
      <c r="C298" s="379"/>
      <c r="D298" s="371"/>
      <c r="E298" s="360"/>
      <c r="F298" s="419"/>
      <c r="G298" s="532"/>
      <c r="H298" s="170"/>
      <c r="I298" s="155" t="s">
        <v>30</v>
      </c>
      <c r="J298" s="156"/>
      <c r="K298" s="156"/>
      <c r="L298" s="156"/>
      <c r="M298" s="158"/>
      <c r="N298" s="156"/>
      <c r="O298" s="156"/>
      <c r="P298" s="158"/>
      <c r="Q298" s="158"/>
      <c r="R298" s="158"/>
      <c r="S298" s="158"/>
      <c r="T298" s="158"/>
      <c r="U298" s="158"/>
      <c r="V298" s="158"/>
      <c r="W298" s="158"/>
      <c r="X298" s="364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51"/>
      <c r="B299" s="377"/>
      <c r="C299" s="379"/>
      <c r="D299" s="371"/>
      <c r="E299" s="360"/>
      <c r="F299" s="419"/>
      <c r="G299" s="532"/>
      <c r="H299" s="170"/>
      <c r="I299" s="155" t="s">
        <v>32</v>
      </c>
      <c r="J299" s="156"/>
      <c r="K299" s="156"/>
      <c r="L299" s="156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364"/>
      <c r="Y299" s="40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4.25" customHeight="1">
      <c r="A300" s="351"/>
      <c r="B300" s="377"/>
      <c r="C300" s="379"/>
      <c r="D300" s="371"/>
      <c r="E300" s="360"/>
      <c r="F300" s="419"/>
      <c r="G300" s="533"/>
      <c r="H300" s="170"/>
      <c r="I300" s="160" t="s">
        <v>26</v>
      </c>
      <c r="J300" s="161">
        <f t="shared" ref="J300:P300" si="92">SUM(J296:J299)</f>
        <v>262000</v>
      </c>
      <c r="K300" s="161">
        <f t="shared" si="92"/>
        <v>0</v>
      </c>
      <c r="L300" s="161">
        <f t="shared" si="92"/>
        <v>0</v>
      </c>
      <c r="M300" s="161">
        <f t="shared" si="92"/>
        <v>0</v>
      </c>
      <c r="N300" s="161">
        <f t="shared" si="92"/>
        <v>2635074</v>
      </c>
      <c r="O300" s="161">
        <f t="shared" si="92"/>
        <v>3432597</v>
      </c>
      <c r="P300" s="161">
        <f t="shared" si="92"/>
        <v>0</v>
      </c>
      <c r="Q300" s="161">
        <f>SUM(Q296:Q299)</f>
        <v>0</v>
      </c>
      <c r="R300" s="161">
        <f>SUM(R296:R299)</f>
        <v>0</v>
      </c>
      <c r="S300" s="161">
        <f>SUM(S296:S299)</f>
        <v>0</v>
      </c>
      <c r="T300" s="161"/>
      <c r="U300" s="161"/>
      <c r="V300" s="161"/>
      <c r="W300" s="161"/>
      <c r="X300" s="364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51">
        <v>17</v>
      </c>
      <c r="B301" s="377" t="s">
        <v>56</v>
      </c>
      <c r="C301" s="388">
        <v>2015</v>
      </c>
      <c r="D301" s="355">
        <v>2033</v>
      </c>
      <c r="E301" s="360" t="s">
        <v>258</v>
      </c>
      <c r="F301" s="368">
        <f>1489972+132269+X301+243200</f>
        <v>17157441</v>
      </c>
      <c r="G301" s="431">
        <v>60016</v>
      </c>
      <c r="H301" s="90">
        <v>6060</v>
      </c>
      <c r="I301" s="61" t="s">
        <v>28</v>
      </c>
      <c r="J301" s="87">
        <v>384000</v>
      </c>
      <c r="K301" s="87">
        <v>620000</v>
      </c>
      <c r="L301" s="87"/>
      <c r="M301" s="325"/>
      <c r="N301" s="87">
        <v>292000</v>
      </c>
      <c r="O301" s="87">
        <f>1000000+300000</f>
        <v>1300000</v>
      </c>
      <c r="P301" s="87">
        <v>1300000</v>
      </c>
      <c r="Q301" s="87">
        <v>2400000</v>
      </c>
      <c r="R301" s="87">
        <v>2000000</v>
      </c>
      <c r="S301" s="87">
        <v>2000000</v>
      </c>
      <c r="T301" s="87">
        <v>2000000</v>
      </c>
      <c r="U301" s="87">
        <v>2000000</v>
      </c>
      <c r="V301" s="87">
        <v>2000000</v>
      </c>
      <c r="W301" s="87"/>
      <c r="X301" s="375">
        <f>SUM(L305:W305)</f>
        <v>15292000</v>
      </c>
      <c r="Y301" s="141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51"/>
      <c r="B302" s="377"/>
      <c r="C302" s="388"/>
      <c r="D302" s="355"/>
      <c r="E302" s="360"/>
      <c r="F302" s="368"/>
      <c r="G302" s="431"/>
      <c r="H302" s="89"/>
      <c r="I302" s="60" t="s">
        <v>31</v>
      </c>
      <c r="J302" s="85"/>
      <c r="K302" s="77"/>
      <c r="L302" s="7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375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51"/>
      <c r="B303" s="377"/>
      <c r="C303" s="388"/>
      <c r="D303" s="355"/>
      <c r="E303" s="360"/>
      <c r="F303" s="368"/>
      <c r="G303" s="431"/>
      <c r="H303" s="89"/>
      <c r="I303" s="60" t="s">
        <v>30</v>
      </c>
      <c r="J303" s="85"/>
      <c r="K303" s="77"/>
      <c r="L303" s="77"/>
      <c r="M303" s="77"/>
      <c r="N303" s="77"/>
      <c r="O303" s="77"/>
      <c r="P303" s="77"/>
      <c r="Q303" s="77"/>
      <c r="R303" s="87"/>
      <c r="S303" s="87"/>
      <c r="T303" s="87"/>
      <c r="U303" s="87"/>
      <c r="V303" s="87"/>
      <c r="W303" s="87"/>
      <c r="X303" s="375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4.25" customHeight="1">
      <c r="A304" s="351"/>
      <c r="B304" s="377"/>
      <c r="C304" s="388"/>
      <c r="D304" s="355"/>
      <c r="E304" s="360"/>
      <c r="F304" s="368"/>
      <c r="G304" s="431"/>
      <c r="H304" s="89"/>
      <c r="I304" s="60" t="s">
        <v>32</v>
      </c>
      <c r="J304" s="85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375"/>
      <c r="Y304" s="40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4.25" customHeight="1">
      <c r="A305" s="351"/>
      <c r="B305" s="377"/>
      <c r="C305" s="388"/>
      <c r="D305" s="355"/>
      <c r="E305" s="360"/>
      <c r="F305" s="368"/>
      <c r="G305" s="431"/>
      <c r="H305" s="89"/>
      <c r="I305" s="64" t="s">
        <v>26</v>
      </c>
      <c r="J305" s="65">
        <f>SUM(J301:J304)</f>
        <v>384000</v>
      </c>
      <c r="K305" s="65">
        <f t="shared" ref="K305:W305" si="93">SUM(K301:K304)</f>
        <v>620000</v>
      </c>
      <c r="L305" s="65">
        <f t="shared" si="93"/>
        <v>0</v>
      </c>
      <c r="M305" s="65">
        <f t="shared" si="93"/>
        <v>0</v>
      </c>
      <c r="N305" s="65">
        <f t="shared" si="93"/>
        <v>292000</v>
      </c>
      <c r="O305" s="65">
        <f t="shared" si="93"/>
        <v>1300000</v>
      </c>
      <c r="P305" s="65">
        <f t="shared" si="93"/>
        <v>1300000</v>
      </c>
      <c r="Q305" s="65">
        <f t="shared" si="93"/>
        <v>2400000</v>
      </c>
      <c r="R305" s="65">
        <f t="shared" si="93"/>
        <v>2000000</v>
      </c>
      <c r="S305" s="65">
        <f t="shared" si="93"/>
        <v>2000000</v>
      </c>
      <c r="T305" s="65">
        <f t="shared" si="93"/>
        <v>2000000</v>
      </c>
      <c r="U305" s="65">
        <f t="shared" si="93"/>
        <v>2000000</v>
      </c>
      <c r="V305" s="65">
        <f t="shared" si="93"/>
        <v>2000000</v>
      </c>
      <c r="W305" s="65">
        <f t="shared" si="93"/>
        <v>0</v>
      </c>
      <c r="X305" s="375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51">
        <v>18</v>
      </c>
      <c r="B306" s="377" t="s">
        <v>215</v>
      </c>
      <c r="C306" s="379">
        <v>2014</v>
      </c>
      <c r="D306" s="371">
        <v>2031</v>
      </c>
      <c r="E306" s="360" t="s">
        <v>258</v>
      </c>
      <c r="F306" s="419">
        <f>19500+X306</f>
        <v>614500</v>
      </c>
      <c r="G306" s="385">
        <v>60016</v>
      </c>
      <c r="H306" s="170">
        <v>6050</v>
      </c>
      <c r="I306" s="155" t="s">
        <v>28</v>
      </c>
      <c r="J306" s="156">
        <v>725418</v>
      </c>
      <c r="K306" s="158"/>
      <c r="L306" s="199"/>
      <c r="M306" s="199"/>
      <c r="N306" s="199"/>
      <c r="O306" s="157"/>
      <c r="P306" s="164">
        <v>45000</v>
      </c>
      <c r="Q306" s="164"/>
      <c r="R306" s="164">
        <v>0</v>
      </c>
      <c r="S306" s="164">
        <v>100000</v>
      </c>
      <c r="T306" s="164">
        <v>450000</v>
      </c>
      <c r="U306" s="157"/>
      <c r="V306" s="157"/>
      <c r="W306" s="157"/>
      <c r="X306" s="364">
        <f>SUM(L310:W310)</f>
        <v>595000</v>
      </c>
      <c r="Y306" s="141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51"/>
      <c r="B307" s="377"/>
      <c r="C307" s="379"/>
      <c r="D307" s="371"/>
      <c r="E307" s="360"/>
      <c r="F307" s="419"/>
      <c r="G307" s="385"/>
      <c r="H307" s="170"/>
      <c r="I307" s="155" t="s">
        <v>31</v>
      </c>
      <c r="J307" s="158"/>
      <c r="K307" s="158"/>
      <c r="L307" s="199"/>
      <c r="M307" s="199"/>
      <c r="N307" s="167"/>
      <c r="O307" s="167"/>
      <c r="P307" s="199"/>
      <c r="Q307" s="199"/>
      <c r="R307" s="199"/>
      <c r="S307" s="199"/>
      <c r="T307" s="199"/>
      <c r="U307" s="199"/>
      <c r="V307" s="199"/>
      <c r="W307" s="199"/>
      <c r="X307" s="364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5" customHeight="1">
      <c r="A308" s="351"/>
      <c r="B308" s="377"/>
      <c r="C308" s="379"/>
      <c r="D308" s="371"/>
      <c r="E308" s="360"/>
      <c r="F308" s="419"/>
      <c r="G308" s="385"/>
      <c r="H308" s="170"/>
      <c r="I308" s="155" t="s">
        <v>30</v>
      </c>
      <c r="J308" s="158"/>
      <c r="K308" s="158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  <c r="X308" s="364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5" customHeight="1">
      <c r="A309" s="351"/>
      <c r="B309" s="377"/>
      <c r="C309" s="379"/>
      <c r="D309" s="371"/>
      <c r="E309" s="360"/>
      <c r="F309" s="419"/>
      <c r="G309" s="385"/>
      <c r="H309" s="170"/>
      <c r="I309" s="155" t="s">
        <v>33</v>
      </c>
      <c r="J309" s="186"/>
      <c r="K309" s="186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  <c r="X309" s="364"/>
      <c r="Y309" s="40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3.5" customHeight="1">
      <c r="A310" s="351"/>
      <c r="B310" s="377"/>
      <c r="C310" s="379"/>
      <c r="D310" s="371"/>
      <c r="E310" s="360"/>
      <c r="F310" s="419"/>
      <c r="G310" s="385"/>
      <c r="H310" s="170"/>
      <c r="I310" s="160" t="s">
        <v>26</v>
      </c>
      <c r="J310" s="161">
        <f>J306+J307+J308+J309</f>
        <v>725418</v>
      </c>
      <c r="K310" s="161">
        <f>K306+K307+K308+K309</f>
        <v>0</v>
      </c>
      <c r="L310" s="162">
        <f>L306+L307+L308+L309</f>
        <v>0</v>
      </c>
      <c r="M310" s="162">
        <f>M306+M307+M308+M309</f>
        <v>0</v>
      </c>
      <c r="N310" s="162">
        <f t="shared" ref="N310:W310" si="94">N306+N307+N308+N309</f>
        <v>0</v>
      </c>
      <c r="O310" s="162">
        <f t="shared" si="94"/>
        <v>0</v>
      </c>
      <c r="P310" s="162">
        <f t="shared" si="94"/>
        <v>45000</v>
      </c>
      <c r="Q310" s="162">
        <f t="shared" si="94"/>
        <v>0</v>
      </c>
      <c r="R310" s="162">
        <f t="shared" si="94"/>
        <v>0</v>
      </c>
      <c r="S310" s="162">
        <f t="shared" si="94"/>
        <v>100000</v>
      </c>
      <c r="T310" s="162">
        <f t="shared" si="94"/>
        <v>450000</v>
      </c>
      <c r="U310" s="162">
        <f t="shared" si="94"/>
        <v>0</v>
      </c>
      <c r="V310" s="162">
        <f t="shared" si="94"/>
        <v>0</v>
      </c>
      <c r="W310" s="162">
        <f t="shared" si="94"/>
        <v>0</v>
      </c>
      <c r="X310" s="364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ht="17.25" customHeight="1">
      <c r="A311" s="351">
        <v>19</v>
      </c>
      <c r="B311" s="377" t="s">
        <v>241</v>
      </c>
      <c r="C311" s="379">
        <v>2016</v>
      </c>
      <c r="D311" s="371">
        <v>2025</v>
      </c>
      <c r="E311" s="360" t="s">
        <v>258</v>
      </c>
      <c r="F311" s="419">
        <f>2716144+X311</f>
        <v>4742575</v>
      </c>
      <c r="G311" s="461">
        <v>60016</v>
      </c>
      <c r="H311" s="154">
        <v>6050</v>
      </c>
      <c r="I311" s="183" t="s">
        <v>28</v>
      </c>
      <c r="J311" s="157">
        <v>0</v>
      </c>
      <c r="K311" s="158"/>
      <c r="L311" s="164"/>
      <c r="M311" s="156"/>
      <c r="N311" s="350">
        <v>427800</v>
      </c>
      <c r="O311" s="156">
        <v>0</v>
      </c>
      <c r="P311" s="156"/>
      <c r="Q311" s="156"/>
      <c r="R311" s="156"/>
      <c r="S311" s="156"/>
      <c r="T311" s="156"/>
      <c r="U311" s="156"/>
      <c r="V311" s="156"/>
      <c r="W311" s="156"/>
      <c r="X311" s="364">
        <f>SUM(L315:W315)</f>
        <v>2026431</v>
      </c>
      <c r="Y311" s="141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6"/>
      <c r="FL311" s="96"/>
      <c r="FM311" s="96"/>
      <c r="FN311" s="96"/>
      <c r="FO311" s="96"/>
      <c r="FP311" s="96"/>
      <c r="FQ311" s="96"/>
      <c r="FR311" s="96"/>
      <c r="FS311" s="96"/>
      <c r="FT311" s="96"/>
      <c r="FU311" s="96"/>
      <c r="FV311" s="96"/>
      <c r="FW311" s="96"/>
      <c r="FX311" s="96"/>
      <c r="FY311" s="96"/>
      <c r="FZ311" s="96"/>
      <c r="GA311" s="96"/>
      <c r="GB311" s="96"/>
      <c r="GC311" s="96"/>
      <c r="GD311" s="96"/>
      <c r="GE311" s="96"/>
      <c r="GF311" s="96"/>
      <c r="GG311" s="96"/>
      <c r="GH311" s="96"/>
      <c r="GI311" s="96"/>
      <c r="GJ311" s="96"/>
      <c r="GK311" s="96"/>
      <c r="GL311" s="96"/>
      <c r="GM311" s="96"/>
      <c r="GN311" s="96"/>
      <c r="GO311" s="96"/>
      <c r="GP311" s="96"/>
    </row>
    <row r="312" spans="1:198" ht="14.25" customHeight="1">
      <c r="A312" s="351"/>
      <c r="B312" s="377"/>
      <c r="C312" s="379"/>
      <c r="D312" s="371"/>
      <c r="E312" s="360"/>
      <c r="F312" s="419"/>
      <c r="G312" s="461"/>
      <c r="H312" s="154">
        <v>6050</v>
      </c>
      <c r="I312" s="183" t="s">
        <v>31</v>
      </c>
      <c r="J312" s="157"/>
      <c r="K312" s="158"/>
      <c r="L312" s="186"/>
      <c r="M312" s="156"/>
      <c r="N312" s="349">
        <v>1598631</v>
      </c>
      <c r="O312" s="167"/>
      <c r="P312" s="199"/>
      <c r="Q312" s="199"/>
      <c r="R312" s="199"/>
      <c r="S312" s="199"/>
      <c r="T312" s="199"/>
      <c r="U312" s="199"/>
      <c r="V312" s="199"/>
      <c r="W312" s="199"/>
      <c r="X312" s="364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s="15" customFormat="1" ht="14.25" customHeight="1">
      <c r="A313" s="351"/>
      <c r="B313" s="377"/>
      <c r="C313" s="379"/>
      <c r="D313" s="371"/>
      <c r="E313" s="360"/>
      <c r="F313" s="419"/>
      <c r="G313" s="461"/>
      <c r="H313" s="154"/>
      <c r="I313" s="163" t="s">
        <v>30</v>
      </c>
      <c r="J313" s="157"/>
      <c r="K313" s="157"/>
      <c r="L313" s="199"/>
      <c r="M313" s="199"/>
      <c r="N313" s="199"/>
      <c r="O313" s="199"/>
      <c r="P313" s="335"/>
      <c r="Q313" s="199"/>
      <c r="R313" s="199"/>
      <c r="S313" s="199"/>
      <c r="T313" s="199"/>
      <c r="U313" s="199"/>
      <c r="V313" s="199"/>
      <c r="W313" s="199"/>
      <c r="X313" s="364"/>
      <c r="Y313" s="146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  <c r="DV313" s="147"/>
      <c r="DW313" s="147"/>
      <c r="DX313" s="147"/>
      <c r="DY313" s="147"/>
      <c r="DZ313" s="147"/>
      <c r="EA313" s="147"/>
      <c r="EB313" s="147"/>
      <c r="EC313" s="147"/>
      <c r="ED313" s="147"/>
      <c r="EE313" s="147"/>
      <c r="EF313" s="147"/>
      <c r="EG313" s="147"/>
      <c r="EH313" s="147"/>
      <c r="EI313" s="147"/>
      <c r="EJ313" s="147"/>
      <c r="EK313" s="147"/>
      <c r="EL313" s="147"/>
      <c r="EM313" s="147"/>
      <c r="EN313" s="147"/>
      <c r="EO313" s="147"/>
      <c r="EP313" s="147"/>
      <c r="EQ313" s="147"/>
      <c r="ER313" s="147"/>
      <c r="ES313" s="147"/>
      <c r="ET313" s="147"/>
      <c r="EU313" s="147"/>
      <c r="EV313" s="147"/>
      <c r="EW313" s="147"/>
      <c r="EX313" s="147"/>
      <c r="EY313" s="147"/>
      <c r="EZ313" s="147"/>
      <c r="FA313" s="147"/>
      <c r="FB313" s="147"/>
      <c r="FC313" s="147"/>
      <c r="FD313" s="147"/>
      <c r="FE313" s="147"/>
      <c r="FF313" s="147"/>
      <c r="FG313" s="147"/>
      <c r="FH313" s="147"/>
      <c r="FI313" s="147"/>
      <c r="FJ313" s="147"/>
      <c r="FK313" s="147"/>
      <c r="FL313" s="147"/>
      <c r="FM313" s="147"/>
      <c r="FN313" s="147"/>
      <c r="FO313" s="147"/>
      <c r="FP313" s="147"/>
      <c r="FQ313" s="147"/>
      <c r="FR313" s="147"/>
      <c r="FS313" s="147"/>
      <c r="FT313" s="147"/>
      <c r="FU313" s="147"/>
      <c r="FV313" s="147"/>
      <c r="FW313" s="147"/>
      <c r="FX313" s="147"/>
      <c r="FY313" s="147"/>
      <c r="FZ313" s="147"/>
      <c r="GA313" s="147"/>
      <c r="GB313" s="147"/>
      <c r="GC313" s="147"/>
      <c r="GD313" s="147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</row>
    <row r="314" spans="1:198" ht="14.25" customHeight="1">
      <c r="A314" s="351"/>
      <c r="B314" s="377"/>
      <c r="C314" s="379"/>
      <c r="D314" s="371"/>
      <c r="E314" s="360"/>
      <c r="F314" s="419"/>
      <c r="G314" s="461"/>
      <c r="H314" s="154"/>
      <c r="I314" s="163" t="s">
        <v>70</v>
      </c>
      <c r="J314" s="199"/>
      <c r="K314" s="199"/>
      <c r="L314" s="157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  <c r="X314" s="364"/>
      <c r="Y314" s="40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1.25" customHeight="1">
      <c r="A315" s="351"/>
      <c r="B315" s="377"/>
      <c r="C315" s="379"/>
      <c r="D315" s="371"/>
      <c r="E315" s="360"/>
      <c r="F315" s="419"/>
      <c r="G315" s="461"/>
      <c r="H315" s="154"/>
      <c r="I315" s="221" t="s">
        <v>26</v>
      </c>
      <c r="J315" s="162">
        <f>J311+J312+J313+J314</f>
        <v>0</v>
      </c>
      <c r="K315" s="162">
        <f>K311+K312+K313+K314</f>
        <v>0</v>
      </c>
      <c r="L315" s="162">
        <f>L311+L312+L313+L314</f>
        <v>0</v>
      </c>
      <c r="M315" s="162">
        <f>M311+M312+M313+M314</f>
        <v>0</v>
      </c>
      <c r="N315" s="162">
        <f>N311+N312+N313+N314</f>
        <v>2026431</v>
      </c>
      <c r="O315" s="162">
        <f t="shared" ref="O315:W315" si="95">O311+O312+O313+O314</f>
        <v>0</v>
      </c>
      <c r="P315" s="162">
        <f t="shared" si="95"/>
        <v>0</v>
      </c>
      <c r="Q315" s="162">
        <f t="shared" si="95"/>
        <v>0</v>
      </c>
      <c r="R315" s="162">
        <f t="shared" si="95"/>
        <v>0</v>
      </c>
      <c r="S315" s="162">
        <f t="shared" si="95"/>
        <v>0</v>
      </c>
      <c r="T315" s="162">
        <f t="shared" si="95"/>
        <v>0</v>
      </c>
      <c r="U315" s="162">
        <f t="shared" si="95"/>
        <v>0</v>
      </c>
      <c r="V315" s="162">
        <f t="shared" si="95"/>
        <v>0</v>
      </c>
      <c r="W315" s="162">
        <f t="shared" si="95"/>
        <v>0</v>
      </c>
      <c r="X315" s="364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51">
        <v>20</v>
      </c>
      <c r="B316" s="377" t="s">
        <v>147</v>
      </c>
      <c r="C316" s="379">
        <v>2022</v>
      </c>
      <c r="D316" s="371">
        <v>2028</v>
      </c>
      <c r="E316" s="360" t="s">
        <v>258</v>
      </c>
      <c r="F316" s="386">
        <f>46050+X316</f>
        <v>896050</v>
      </c>
      <c r="G316" s="461">
        <v>60016</v>
      </c>
      <c r="H316" s="154">
        <v>6050</v>
      </c>
      <c r="I316" s="163" t="s">
        <v>28</v>
      </c>
      <c r="J316" s="289">
        <v>527095</v>
      </c>
      <c r="K316" s="164">
        <v>762450</v>
      </c>
      <c r="L316" s="158"/>
      <c r="M316" s="158">
        <v>0</v>
      </c>
      <c r="N316" s="186"/>
      <c r="O316" s="186"/>
      <c r="P316" s="156">
        <v>500000</v>
      </c>
      <c r="Q316" s="156">
        <v>350000</v>
      </c>
      <c r="R316" s="186"/>
      <c r="S316" s="186"/>
      <c r="T316" s="186"/>
      <c r="U316" s="186"/>
      <c r="V316" s="186"/>
      <c r="W316" s="186"/>
      <c r="X316" s="364">
        <f>SUM(L320:W320)</f>
        <v>850000</v>
      </c>
      <c r="Y316" s="141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51"/>
      <c r="B317" s="377"/>
      <c r="C317" s="379"/>
      <c r="D317" s="371"/>
      <c r="E317" s="360"/>
      <c r="F317" s="386"/>
      <c r="G317" s="461"/>
      <c r="H317" s="154"/>
      <c r="I317" s="163" t="s">
        <v>31</v>
      </c>
      <c r="J317" s="186"/>
      <c r="K317" s="186"/>
      <c r="L317" s="186"/>
      <c r="M317" s="186"/>
      <c r="N317" s="186"/>
      <c r="O317" s="186"/>
      <c r="P317" s="187"/>
      <c r="Q317" s="187"/>
      <c r="R317" s="186"/>
      <c r="S317" s="186"/>
      <c r="T317" s="186"/>
      <c r="U317" s="186"/>
      <c r="V317" s="186"/>
      <c r="W317" s="186"/>
      <c r="X317" s="364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51"/>
      <c r="B318" s="377"/>
      <c r="C318" s="379"/>
      <c r="D318" s="371"/>
      <c r="E318" s="360"/>
      <c r="F318" s="386"/>
      <c r="G318" s="461"/>
      <c r="H318" s="154"/>
      <c r="I318" s="163" t="s">
        <v>30</v>
      </c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364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51"/>
      <c r="B319" s="377"/>
      <c r="C319" s="379"/>
      <c r="D319" s="371"/>
      <c r="E319" s="360"/>
      <c r="F319" s="386"/>
      <c r="G319" s="461"/>
      <c r="H319" s="154"/>
      <c r="I319" s="163" t="s">
        <v>32</v>
      </c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364"/>
      <c r="Y319" s="40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51"/>
      <c r="B320" s="377"/>
      <c r="C320" s="379"/>
      <c r="D320" s="371"/>
      <c r="E320" s="360"/>
      <c r="F320" s="386"/>
      <c r="G320" s="461"/>
      <c r="H320" s="154"/>
      <c r="I320" s="160" t="s">
        <v>26</v>
      </c>
      <c r="J320" s="161">
        <f>SUM(J316:J319)</f>
        <v>527095</v>
      </c>
      <c r="K320" s="161">
        <f t="shared" ref="K320:W320" si="96">SUM(K316:K319)</f>
        <v>762450</v>
      </c>
      <c r="L320" s="161">
        <f t="shared" si="96"/>
        <v>0</v>
      </c>
      <c r="M320" s="161">
        <f t="shared" si="96"/>
        <v>0</v>
      </c>
      <c r="N320" s="161">
        <f t="shared" si="96"/>
        <v>0</v>
      </c>
      <c r="O320" s="161">
        <f t="shared" si="96"/>
        <v>0</v>
      </c>
      <c r="P320" s="161">
        <f t="shared" si="96"/>
        <v>500000</v>
      </c>
      <c r="Q320" s="161">
        <f t="shared" si="96"/>
        <v>350000</v>
      </c>
      <c r="R320" s="161">
        <f t="shared" si="96"/>
        <v>0</v>
      </c>
      <c r="S320" s="161">
        <f t="shared" si="96"/>
        <v>0</v>
      </c>
      <c r="T320" s="161">
        <f t="shared" si="96"/>
        <v>0</v>
      </c>
      <c r="U320" s="161">
        <f t="shared" si="96"/>
        <v>0</v>
      </c>
      <c r="V320" s="161">
        <f t="shared" si="96"/>
        <v>0</v>
      </c>
      <c r="W320" s="161">
        <f t="shared" si="96"/>
        <v>0</v>
      </c>
      <c r="X320" s="364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51">
        <v>21</v>
      </c>
      <c r="B321" s="378" t="s">
        <v>79</v>
      </c>
      <c r="C321" s="379">
        <v>2015</v>
      </c>
      <c r="D321" s="371">
        <v>2029</v>
      </c>
      <c r="E321" s="360" t="s">
        <v>258</v>
      </c>
      <c r="F321" s="419">
        <f>60789+X321</f>
        <v>1780789</v>
      </c>
      <c r="G321" s="385">
        <v>60016</v>
      </c>
      <c r="H321" s="170">
        <v>6050</v>
      </c>
      <c r="I321" s="155" t="s">
        <v>28</v>
      </c>
      <c r="J321" s="164"/>
      <c r="K321" s="157"/>
      <c r="L321" s="164">
        <v>0</v>
      </c>
      <c r="M321" s="157"/>
      <c r="N321" s="164">
        <v>20000</v>
      </c>
      <c r="O321" s="164">
        <v>100000</v>
      </c>
      <c r="P321" s="164">
        <v>500000</v>
      </c>
      <c r="Q321" s="164">
        <v>450000</v>
      </c>
      <c r="R321" s="164">
        <v>650000</v>
      </c>
      <c r="S321" s="164"/>
      <c r="T321" s="157"/>
      <c r="U321" s="157"/>
      <c r="V321" s="157"/>
      <c r="W321" s="157"/>
      <c r="X321" s="483">
        <f>SUM(L325:W325)</f>
        <v>1720000</v>
      </c>
      <c r="Y321" s="141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51"/>
      <c r="B322" s="378"/>
      <c r="C322" s="379"/>
      <c r="D322" s="371"/>
      <c r="E322" s="360"/>
      <c r="F322" s="419"/>
      <c r="G322" s="385"/>
      <c r="H322" s="170"/>
      <c r="I322" s="155" t="s">
        <v>31</v>
      </c>
      <c r="J322" s="199"/>
      <c r="K322" s="199"/>
      <c r="L322" s="199"/>
      <c r="M322" s="199"/>
      <c r="N322" s="199"/>
      <c r="O322" s="169"/>
      <c r="P322" s="169"/>
      <c r="Q322" s="169"/>
      <c r="R322" s="169"/>
      <c r="S322" s="169"/>
      <c r="T322" s="199"/>
      <c r="U322" s="199"/>
      <c r="V322" s="199"/>
      <c r="W322" s="199"/>
      <c r="X322" s="483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51"/>
      <c r="B323" s="378"/>
      <c r="C323" s="379"/>
      <c r="D323" s="371"/>
      <c r="E323" s="360"/>
      <c r="F323" s="419"/>
      <c r="G323" s="385"/>
      <c r="H323" s="170"/>
      <c r="I323" s="155" t="s">
        <v>30</v>
      </c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  <c r="X323" s="483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51"/>
      <c r="B324" s="378"/>
      <c r="C324" s="379"/>
      <c r="D324" s="371"/>
      <c r="E324" s="360"/>
      <c r="F324" s="419"/>
      <c r="G324" s="385"/>
      <c r="H324" s="170"/>
      <c r="I324" s="155" t="s">
        <v>33</v>
      </c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  <c r="X324" s="483"/>
      <c r="Y324" s="40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51"/>
      <c r="B325" s="378"/>
      <c r="C325" s="379"/>
      <c r="D325" s="371"/>
      <c r="E325" s="360"/>
      <c r="F325" s="419"/>
      <c r="G325" s="385"/>
      <c r="H325" s="170"/>
      <c r="I325" s="160" t="s">
        <v>26</v>
      </c>
      <c r="J325" s="161">
        <f>J321+J322+J323+J324</f>
        <v>0</v>
      </c>
      <c r="K325" s="161">
        <f t="shared" ref="K325:N325" si="97">K321+K322+K323+K324</f>
        <v>0</v>
      </c>
      <c r="L325" s="161">
        <f t="shared" si="97"/>
        <v>0</v>
      </c>
      <c r="M325" s="161">
        <f t="shared" si="97"/>
        <v>0</v>
      </c>
      <c r="N325" s="161">
        <f t="shared" si="97"/>
        <v>20000</v>
      </c>
      <c r="O325" s="161">
        <f>O321+O322+O323+O324</f>
        <v>100000</v>
      </c>
      <c r="P325" s="161">
        <f>P321+P322+P323+P324</f>
        <v>500000</v>
      </c>
      <c r="Q325" s="161">
        <f>SUM(Q321:Q324)</f>
        <v>450000</v>
      </c>
      <c r="R325" s="161">
        <f>SUM(R321:R324)</f>
        <v>650000</v>
      </c>
      <c r="S325" s="161"/>
      <c r="T325" s="161"/>
      <c r="U325" s="161"/>
      <c r="V325" s="161"/>
      <c r="W325" s="161"/>
      <c r="X325" s="483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51">
        <v>22</v>
      </c>
      <c r="B326" s="377" t="s">
        <v>214</v>
      </c>
      <c r="C326" s="379">
        <v>2015</v>
      </c>
      <c r="D326" s="371">
        <v>2029</v>
      </c>
      <c r="E326" s="360" t="s">
        <v>258</v>
      </c>
      <c r="F326" s="419">
        <f>920655+X326</f>
        <v>1420655</v>
      </c>
      <c r="G326" s="352">
        <v>60016</v>
      </c>
      <c r="H326" s="170">
        <v>6050</v>
      </c>
      <c r="I326" s="155" t="s">
        <v>28</v>
      </c>
      <c r="J326" s="199">
        <v>0</v>
      </c>
      <c r="K326" s="157">
        <v>0</v>
      </c>
      <c r="L326" s="164">
        <v>0</v>
      </c>
      <c r="M326" s="164">
        <v>0</v>
      </c>
      <c r="O326" s="157"/>
      <c r="P326" s="157"/>
      <c r="Q326" s="164">
        <v>200000</v>
      </c>
      <c r="R326" s="164">
        <v>300000</v>
      </c>
      <c r="S326" s="199"/>
      <c r="T326" s="199"/>
      <c r="U326" s="199"/>
      <c r="V326" s="199"/>
      <c r="W326" s="199"/>
      <c r="X326" s="483">
        <f>SUM(K330:W330)</f>
        <v>500000</v>
      </c>
      <c r="Y326" s="141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51"/>
      <c r="B327" s="377"/>
      <c r="C327" s="379"/>
      <c r="D327" s="371"/>
      <c r="E327" s="360"/>
      <c r="F327" s="419"/>
      <c r="G327" s="352"/>
      <c r="H327" s="170"/>
      <c r="I327" s="155" t="s">
        <v>31</v>
      </c>
      <c r="J327" s="199"/>
      <c r="K327" s="199"/>
      <c r="L327" s="199"/>
      <c r="M327" s="16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83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51"/>
      <c r="B328" s="377"/>
      <c r="C328" s="379"/>
      <c r="D328" s="371"/>
      <c r="E328" s="360"/>
      <c r="F328" s="419"/>
      <c r="G328" s="352"/>
      <c r="H328" s="170"/>
      <c r="I328" s="155" t="s">
        <v>30</v>
      </c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  <c r="X328" s="483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2" customHeight="1">
      <c r="A329" s="351"/>
      <c r="B329" s="377"/>
      <c r="C329" s="379"/>
      <c r="D329" s="371"/>
      <c r="E329" s="360"/>
      <c r="F329" s="419"/>
      <c r="G329" s="352"/>
      <c r="H329" s="170"/>
      <c r="I329" s="155" t="s">
        <v>32</v>
      </c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  <c r="X329" s="483"/>
      <c r="Y329" s="40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2" customHeight="1">
      <c r="A330" s="351"/>
      <c r="B330" s="377"/>
      <c r="C330" s="379"/>
      <c r="D330" s="371"/>
      <c r="E330" s="360"/>
      <c r="F330" s="419"/>
      <c r="G330" s="352"/>
      <c r="H330" s="170"/>
      <c r="I330" s="221" t="s">
        <v>26</v>
      </c>
      <c r="J330" s="162">
        <f>SUM(J326:J329)</f>
        <v>0</v>
      </c>
      <c r="K330" s="162">
        <f t="shared" ref="K330:W330" si="98">SUM(K326:K329)</f>
        <v>0</v>
      </c>
      <c r="L330" s="162">
        <f t="shared" si="98"/>
        <v>0</v>
      </c>
      <c r="M330" s="162">
        <f t="shared" si="98"/>
        <v>0</v>
      </c>
      <c r="N330" s="162">
        <f t="shared" si="98"/>
        <v>0</v>
      </c>
      <c r="O330" s="162">
        <f>SUM(O326:O329)</f>
        <v>0</v>
      </c>
      <c r="P330" s="162">
        <f>SUM(P326:P329)</f>
        <v>0</v>
      </c>
      <c r="Q330" s="162">
        <f t="shared" si="98"/>
        <v>200000</v>
      </c>
      <c r="R330" s="162">
        <f t="shared" si="98"/>
        <v>300000</v>
      </c>
      <c r="S330" s="162">
        <f t="shared" si="98"/>
        <v>0</v>
      </c>
      <c r="T330" s="162">
        <f t="shared" si="98"/>
        <v>0</v>
      </c>
      <c r="U330" s="162">
        <f t="shared" si="98"/>
        <v>0</v>
      </c>
      <c r="V330" s="162">
        <f t="shared" si="98"/>
        <v>0</v>
      </c>
      <c r="W330" s="162">
        <f t="shared" si="98"/>
        <v>0</v>
      </c>
      <c r="X330" s="483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51">
        <v>23</v>
      </c>
      <c r="B331" s="378" t="s">
        <v>57</v>
      </c>
      <c r="C331" s="371">
        <v>2020</v>
      </c>
      <c r="D331" s="371">
        <v>2029</v>
      </c>
      <c r="E331" s="360" t="s">
        <v>258</v>
      </c>
      <c r="F331" s="419">
        <f>34563+X331</f>
        <v>834563</v>
      </c>
      <c r="G331" s="352">
        <v>60016</v>
      </c>
      <c r="H331" s="170">
        <v>6050</v>
      </c>
      <c r="I331" s="155" t="s">
        <v>28</v>
      </c>
      <c r="J331" s="164"/>
      <c r="K331" s="164">
        <v>34563</v>
      </c>
      <c r="L331" s="242">
        <v>0</v>
      </c>
      <c r="M331" s="242">
        <v>0</v>
      </c>
      <c r="N331" s="157"/>
      <c r="O331" s="157"/>
      <c r="P331" s="157"/>
      <c r="Q331" s="164">
        <v>350000</v>
      </c>
      <c r="R331" s="164">
        <v>450000</v>
      </c>
      <c r="S331" s="199"/>
      <c r="T331" s="199"/>
      <c r="U331" s="199"/>
      <c r="V331" s="199"/>
      <c r="W331" s="199"/>
      <c r="X331" s="483">
        <f>SUM(L335:W335)</f>
        <v>800000</v>
      </c>
      <c r="Y331" s="141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51"/>
      <c r="B332" s="378"/>
      <c r="C332" s="371"/>
      <c r="D332" s="371"/>
      <c r="E332" s="360"/>
      <c r="F332" s="419"/>
      <c r="G332" s="352"/>
      <c r="H332" s="170"/>
      <c r="I332" s="155" t="s">
        <v>31</v>
      </c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  <c r="X332" s="483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3.5" customHeight="1">
      <c r="A333" s="351"/>
      <c r="B333" s="378"/>
      <c r="C333" s="371"/>
      <c r="D333" s="371"/>
      <c r="E333" s="360"/>
      <c r="F333" s="419"/>
      <c r="G333" s="352"/>
      <c r="H333" s="170"/>
      <c r="I333" s="155" t="s">
        <v>30</v>
      </c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483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3.5" customHeight="1">
      <c r="A334" s="351"/>
      <c r="B334" s="378"/>
      <c r="C334" s="371"/>
      <c r="D334" s="371"/>
      <c r="E334" s="360"/>
      <c r="F334" s="419"/>
      <c r="G334" s="352"/>
      <c r="H334" s="170"/>
      <c r="I334" s="155" t="s">
        <v>32</v>
      </c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483"/>
      <c r="Y334" s="40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8.75" customHeight="1">
      <c r="A335" s="351"/>
      <c r="B335" s="378"/>
      <c r="C335" s="371"/>
      <c r="D335" s="371"/>
      <c r="E335" s="360"/>
      <c r="F335" s="419"/>
      <c r="G335" s="352"/>
      <c r="H335" s="170"/>
      <c r="I335" s="221" t="s">
        <v>26</v>
      </c>
      <c r="J335" s="162">
        <f>J331+J332+J333+J334</f>
        <v>0</v>
      </c>
      <c r="K335" s="162">
        <f t="shared" ref="K335:R335" si="99">K331+K332+K333+K334</f>
        <v>34563</v>
      </c>
      <c r="L335" s="162">
        <f t="shared" si="99"/>
        <v>0</v>
      </c>
      <c r="M335" s="162">
        <f t="shared" si="99"/>
        <v>0</v>
      </c>
      <c r="N335" s="162">
        <f t="shared" si="99"/>
        <v>0</v>
      </c>
      <c r="O335" s="162">
        <f t="shared" si="99"/>
        <v>0</v>
      </c>
      <c r="P335" s="162">
        <f t="shared" si="99"/>
        <v>0</v>
      </c>
      <c r="Q335" s="162">
        <f t="shared" si="99"/>
        <v>350000</v>
      </c>
      <c r="R335" s="162">
        <f t="shared" si="99"/>
        <v>450000</v>
      </c>
      <c r="S335" s="162"/>
      <c r="T335" s="162"/>
      <c r="U335" s="162"/>
      <c r="V335" s="162"/>
      <c r="W335" s="162"/>
      <c r="X335" s="483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51">
        <v>24</v>
      </c>
      <c r="B336" s="378" t="s">
        <v>58</v>
      </c>
      <c r="C336" s="379">
        <v>2021</v>
      </c>
      <c r="D336" s="371">
        <v>2031</v>
      </c>
      <c r="E336" s="360" t="s">
        <v>258</v>
      </c>
      <c r="F336" s="419">
        <f>80505+X336</f>
        <v>830505</v>
      </c>
      <c r="G336" s="385">
        <v>60016</v>
      </c>
      <c r="H336" s="170">
        <v>6050</v>
      </c>
      <c r="I336" s="155" t="s">
        <v>28</v>
      </c>
      <c r="J336" s="164"/>
      <c r="K336" s="167"/>
      <c r="L336" s="157"/>
      <c r="M336" s="157"/>
      <c r="O336" s="164"/>
      <c r="P336" s="164"/>
      <c r="Q336" s="164">
        <v>0</v>
      </c>
      <c r="R336" s="157">
        <v>0</v>
      </c>
      <c r="S336" s="164">
        <v>350000</v>
      </c>
      <c r="T336" s="164">
        <v>400000</v>
      </c>
      <c r="U336" s="157"/>
      <c r="V336" s="157"/>
      <c r="W336" s="157"/>
      <c r="X336" s="483">
        <f>SUM(L340:W340)</f>
        <v>750000</v>
      </c>
      <c r="Y336" s="141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51"/>
      <c r="B337" s="378"/>
      <c r="C337" s="379"/>
      <c r="D337" s="371"/>
      <c r="E337" s="360"/>
      <c r="F337" s="419"/>
      <c r="G337" s="385"/>
      <c r="H337" s="170"/>
      <c r="I337" s="155" t="s">
        <v>31</v>
      </c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483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2.75" customHeight="1">
      <c r="A338" s="351"/>
      <c r="B338" s="378"/>
      <c r="C338" s="379"/>
      <c r="D338" s="371"/>
      <c r="E338" s="360"/>
      <c r="F338" s="419"/>
      <c r="G338" s="385"/>
      <c r="H338" s="170"/>
      <c r="I338" s="155" t="s">
        <v>30</v>
      </c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483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51"/>
      <c r="B339" s="378"/>
      <c r="C339" s="379"/>
      <c r="D339" s="371"/>
      <c r="E339" s="360"/>
      <c r="F339" s="419"/>
      <c r="G339" s="385"/>
      <c r="H339" s="170"/>
      <c r="I339" s="155" t="s">
        <v>32</v>
      </c>
      <c r="J339" s="199"/>
      <c r="K339" s="199"/>
      <c r="L339" s="199"/>
      <c r="M339" s="199"/>
      <c r="N339" s="199"/>
      <c r="O339" s="199"/>
      <c r="P339" s="199"/>
      <c r="Q339" s="199">
        <f t="shared" ref="Q339" si="100">SUM(J339:P339)</f>
        <v>0</v>
      </c>
      <c r="R339" s="199"/>
      <c r="S339" s="199"/>
      <c r="T339" s="199"/>
      <c r="U339" s="199"/>
      <c r="V339" s="199"/>
      <c r="W339" s="199"/>
      <c r="X339" s="483"/>
      <c r="Y339" s="40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5.75" customHeight="1">
      <c r="A340" s="351"/>
      <c r="B340" s="378"/>
      <c r="C340" s="379"/>
      <c r="D340" s="371"/>
      <c r="E340" s="360"/>
      <c r="F340" s="419"/>
      <c r="G340" s="385"/>
      <c r="H340" s="170"/>
      <c r="I340" s="221" t="s">
        <v>26</v>
      </c>
      <c r="J340" s="162">
        <f>J336+J337+J338+J339</f>
        <v>0</v>
      </c>
      <c r="K340" s="162">
        <f t="shared" ref="K340:N340" si="101">K336+K337+K338+K339</f>
        <v>0</v>
      </c>
      <c r="L340" s="162">
        <f t="shared" si="101"/>
        <v>0</v>
      </c>
      <c r="M340" s="162">
        <f t="shared" si="101"/>
        <v>0</v>
      </c>
      <c r="N340" s="162">
        <f t="shared" si="101"/>
        <v>0</v>
      </c>
      <c r="O340" s="162">
        <f>SUM(O336:O339)</f>
        <v>0</v>
      </c>
      <c r="P340" s="162">
        <f>SUM(P336:P339)</f>
        <v>0</v>
      </c>
      <c r="Q340" s="161">
        <f>SUM(Q336:Q339)</f>
        <v>0</v>
      </c>
      <c r="R340" s="161">
        <f t="shared" ref="R340:W340" si="102">SUM(R336:R339)</f>
        <v>0</v>
      </c>
      <c r="S340" s="161">
        <f t="shared" si="102"/>
        <v>350000</v>
      </c>
      <c r="T340" s="161">
        <f t="shared" si="102"/>
        <v>400000</v>
      </c>
      <c r="U340" s="161">
        <f t="shared" si="102"/>
        <v>0</v>
      </c>
      <c r="V340" s="161">
        <f t="shared" si="102"/>
        <v>0</v>
      </c>
      <c r="W340" s="161">
        <f t="shared" si="102"/>
        <v>0</v>
      </c>
      <c r="X340" s="483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51">
        <v>25</v>
      </c>
      <c r="B341" s="378" t="s">
        <v>218</v>
      </c>
      <c r="C341" s="379">
        <v>2022</v>
      </c>
      <c r="D341" s="379">
        <v>2031</v>
      </c>
      <c r="E341" s="360" t="s">
        <v>258</v>
      </c>
      <c r="F341" s="548">
        <f>24700+X341</f>
        <v>1124700</v>
      </c>
      <c r="G341" s="461">
        <v>60016</v>
      </c>
      <c r="H341" s="154">
        <v>6050</v>
      </c>
      <c r="I341" s="290" t="s">
        <v>28</v>
      </c>
      <c r="J341" s="169"/>
      <c r="K341" s="169">
        <v>0</v>
      </c>
      <c r="L341" s="169">
        <v>0</v>
      </c>
      <c r="M341" s="291"/>
      <c r="N341" s="291"/>
      <c r="O341" s="199"/>
      <c r="P341" s="199"/>
      <c r="Q341" s="157">
        <v>0</v>
      </c>
      <c r="R341" s="164">
        <v>200000</v>
      </c>
      <c r="S341" s="164">
        <v>450000</v>
      </c>
      <c r="T341" s="164">
        <v>450000</v>
      </c>
      <c r="U341" s="199"/>
      <c r="V341" s="199"/>
      <c r="W341" s="199"/>
      <c r="X341" s="464">
        <f>SUM(J345:W345)</f>
        <v>1100000</v>
      </c>
      <c r="Y341" s="141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51"/>
      <c r="B342" s="378"/>
      <c r="C342" s="379"/>
      <c r="D342" s="379"/>
      <c r="E342" s="360"/>
      <c r="F342" s="548"/>
      <c r="G342" s="461"/>
      <c r="H342" s="154"/>
      <c r="I342" s="290" t="s">
        <v>31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464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.75" customHeight="1">
      <c r="A343" s="351"/>
      <c r="B343" s="378"/>
      <c r="C343" s="379"/>
      <c r="D343" s="379"/>
      <c r="E343" s="360"/>
      <c r="F343" s="548"/>
      <c r="G343" s="461"/>
      <c r="H343" s="154"/>
      <c r="I343" s="290" t="s">
        <v>30</v>
      </c>
      <c r="J343" s="186"/>
      <c r="K343" s="186"/>
      <c r="L343" s="199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464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.75" customHeight="1">
      <c r="A344" s="351"/>
      <c r="B344" s="378"/>
      <c r="C344" s="379"/>
      <c r="D344" s="379"/>
      <c r="E344" s="360"/>
      <c r="F344" s="548"/>
      <c r="G344" s="461"/>
      <c r="H344" s="154"/>
      <c r="I344" s="290" t="s">
        <v>59</v>
      </c>
      <c r="J344" s="186"/>
      <c r="K344" s="186"/>
      <c r="L344" s="199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464"/>
      <c r="Y344" s="40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customHeight="1">
      <c r="A345" s="351"/>
      <c r="B345" s="378"/>
      <c r="C345" s="379"/>
      <c r="D345" s="379"/>
      <c r="E345" s="360"/>
      <c r="F345" s="548"/>
      <c r="G345" s="461"/>
      <c r="H345" s="154"/>
      <c r="I345" s="221" t="s">
        <v>26</v>
      </c>
      <c r="J345" s="162">
        <f>SUM(J341:J344)</f>
        <v>0</v>
      </c>
      <c r="K345" s="162">
        <f>SUM(K341:K344)</f>
        <v>0</v>
      </c>
      <c r="L345" s="162">
        <f>SUM(L341:L344)</f>
        <v>0</v>
      </c>
      <c r="M345" s="162">
        <f>SUM(M341:M344)</f>
        <v>0</v>
      </c>
      <c r="N345" s="162">
        <f>SUM(N341:N344)</f>
        <v>0</v>
      </c>
      <c r="O345" s="162">
        <f t="shared" ref="O345:W345" si="103">SUM(O341:O344)</f>
        <v>0</v>
      </c>
      <c r="P345" s="162">
        <f t="shared" si="103"/>
        <v>0</v>
      </c>
      <c r="Q345" s="162">
        <f t="shared" si="103"/>
        <v>0</v>
      </c>
      <c r="R345" s="162">
        <f t="shared" si="103"/>
        <v>200000</v>
      </c>
      <c r="S345" s="162">
        <f t="shared" si="103"/>
        <v>450000</v>
      </c>
      <c r="T345" s="162">
        <f t="shared" si="103"/>
        <v>450000</v>
      </c>
      <c r="U345" s="162">
        <f t="shared" si="103"/>
        <v>0</v>
      </c>
      <c r="V345" s="162">
        <f t="shared" si="103"/>
        <v>0</v>
      </c>
      <c r="W345" s="162">
        <f t="shared" si="103"/>
        <v>0</v>
      </c>
      <c r="X345" s="464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51"/>
      <c r="B346" s="382" t="s">
        <v>60</v>
      </c>
      <c r="C346" s="449">
        <v>2020</v>
      </c>
      <c r="D346" s="449">
        <v>2021</v>
      </c>
      <c r="E346" s="463" t="s">
        <v>27</v>
      </c>
      <c r="F346" s="413">
        <f>SUM(J350:P350)</f>
        <v>0</v>
      </c>
      <c r="G346" s="478">
        <v>60016</v>
      </c>
      <c r="H346" s="113">
        <v>6050</v>
      </c>
      <c r="I346" s="114" t="s">
        <v>28</v>
      </c>
      <c r="J346" s="94"/>
      <c r="K346" s="93"/>
      <c r="L346" s="94"/>
      <c r="M346" s="137"/>
      <c r="N346" s="137"/>
      <c r="O346" s="137"/>
      <c r="P346" s="93"/>
      <c r="Q346" s="93"/>
      <c r="R346" s="93"/>
      <c r="S346" s="93"/>
      <c r="T346" s="93"/>
      <c r="U346" s="93"/>
      <c r="V346" s="93"/>
      <c r="W346" s="93"/>
      <c r="X346" s="421">
        <f>SUM(J350:P350)</f>
        <v>0</v>
      </c>
      <c r="Y346" s="141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51"/>
      <c r="B347" s="382"/>
      <c r="C347" s="449"/>
      <c r="D347" s="449"/>
      <c r="E347" s="463"/>
      <c r="F347" s="413"/>
      <c r="G347" s="478"/>
      <c r="H347" s="113"/>
      <c r="I347" s="114" t="s">
        <v>31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21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51"/>
      <c r="B348" s="382"/>
      <c r="C348" s="449"/>
      <c r="D348" s="449"/>
      <c r="E348" s="463"/>
      <c r="F348" s="413"/>
      <c r="G348" s="478"/>
      <c r="H348" s="113"/>
      <c r="I348" s="114" t="s">
        <v>30</v>
      </c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421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51"/>
      <c r="B349" s="382"/>
      <c r="C349" s="449"/>
      <c r="D349" s="449"/>
      <c r="E349" s="463"/>
      <c r="F349" s="413"/>
      <c r="G349" s="478"/>
      <c r="H349" s="113"/>
      <c r="I349" s="114" t="s">
        <v>32</v>
      </c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421"/>
      <c r="Y349" s="40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2" hidden="1" customHeight="1">
      <c r="A350" s="351"/>
      <c r="B350" s="382"/>
      <c r="C350" s="449"/>
      <c r="D350" s="449"/>
      <c r="E350" s="463"/>
      <c r="F350" s="413"/>
      <c r="G350" s="478"/>
      <c r="H350" s="113"/>
      <c r="I350" s="145" t="s">
        <v>26</v>
      </c>
      <c r="J350" s="103">
        <f>SUM(J346:J349)</f>
        <v>0</v>
      </c>
      <c r="K350" s="103">
        <f t="shared" ref="K350:P350" si="104">SUM(K346:K349)</f>
        <v>0</v>
      </c>
      <c r="L350" s="103">
        <f t="shared" si="104"/>
        <v>0</v>
      </c>
      <c r="M350" s="103">
        <f t="shared" si="104"/>
        <v>0</v>
      </c>
      <c r="N350" s="103">
        <f t="shared" si="104"/>
        <v>0</v>
      </c>
      <c r="O350" s="103">
        <f t="shared" si="104"/>
        <v>0</v>
      </c>
      <c r="P350" s="103">
        <f t="shared" si="104"/>
        <v>0</v>
      </c>
      <c r="Q350" s="103"/>
      <c r="R350" s="103"/>
      <c r="S350" s="103"/>
      <c r="T350" s="103"/>
      <c r="U350" s="103"/>
      <c r="V350" s="103"/>
      <c r="W350" s="103"/>
      <c r="X350" s="421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2" hidden="1" customHeight="1">
      <c r="A351" s="351">
        <v>27</v>
      </c>
      <c r="B351" s="380" t="s">
        <v>61</v>
      </c>
      <c r="C351" s="434">
        <v>2016</v>
      </c>
      <c r="D351" s="434">
        <v>2022</v>
      </c>
      <c r="E351" s="462" t="s">
        <v>27</v>
      </c>
      <c r="F351" s="386">
        <f>X351</f>
        <v>0</v>
      </c>
      <c r="G351" s="461">
        <v>60016</v>
      </c>
      <c r="H351" s="154">
        <v>6050</v>
      </c>
      <c r="I351" s="163" t="s">
        <v>28</v>
      </c>
      <c r="J351" s="164"/>
      <c r="K351" s="164">
        <f>100000-100000</f>
        <v>0</v>
      </c>
      <c r="L351" s="164"/>
      <c r="M351" s="164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364">
        <f>SUM(K355:P355)</f>
        <v>0</v>
      </c>
      <c r="Y351" s="141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5.75" hidden="1" customHeight="1">
      <c r="A352" s="351"/>
      <c r="B352" s="380"/>
      <c r="C352" s="434"/>
      <c r="D352" s="434"/>
      <c r="E352" s="463"/>
      <c r="F352" s="386"/>
      <c r="G352" s="461"/>
      <c r="H352" s="154"/>
      <c r="I352" s="163" t="s">
        <v>31</v>
      </c>
      <c r="J352" s="186"/>
      <c r="K352" s="186"/>
      <c r="L352" s="199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364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0.5" hidden="1" customHeight="1">
      <c r="A353" s="351"/>
      <c r="B353" s="380"/>
      <c r="C353" s="434"/>
      <c r="D353" s="434"/>
      <c r="E353" s="463"/>
      <c r="F353" s="386"/>
      <c r="G353" s="461"/>
      <c r="H353" s="154"/>
      <c r="I353" s="163" t="s">
        <v>30</v>
      </c>
      <c r="J353" s="186"/>
      <c r="K353" s="186"/>
      <c r="L353" s="199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6"/>
      <c r="X353" s="364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0.5" hidden="1" customHeight="1">
      <c r="A354" s="351"/>
      <c r="B354" s="380"/>
      <c r="C354" s="434"/>
      <c r="D354" s="434"/>
      <c r="E354" s="463"/>
      <c r="F354" s="386"/>
      <c r="G354" s="461"/>
      <c r="H354" s="154"/>
      <c r="I354" s="163" t="s">
        <v>32</v>
      </c>
      <c r="J354" s="186"/>
      <c r="K354" s="186"/>
      <c r="L354" s="199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6"/>
      <c r="X354" s="364"/>
      <c r="Y354" s="40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1.25" hidden="1" customHeight="1">
      <c r="A355" s="351"/>
      <c r="B355" s="380"/>
      <c r="C355" s="434"/>
      <c r="D355" s="434"/>
      <c r="E355" s="463"/>
      <c r="F355" s="386"/>
      <c r="G355" s="461"/>
      <c r="H355" s="154"/>
      <c r="I355" s="221" t="s">
        <v>26</v>
      </c>
      <c r="J355" s="162">
        <f>SUM(J351:J354)</f>
        <v>0</v>
      </c>
      <c r="K355" s="162">
        <f t="shared" ref="K355:P355" si="105">SUM(K351:K354)</f>
        <v>0</v>
      </c>
      <c r="L355" s="162">
        <f t="shared" si="105"/>
        <v>0</v>
      </c>
      <c r="M355" s="162">
        <f t="shared" si="105"/>
        <v>0</v>
      </c>
      <c r="N355" s="162">
        <f t="shared" si="105"/>
        <v>0</v>
      </c>
      <c r="O355" s="162">
        <f t="shared" si="105"/>
        <v>0</v>
      </c>
      <c r="P355" s="162">
        <f t="shared" si="105"/>
        <v>0</v>
      </c>
      <c r="Q355" s="162"/>
      <c r="R355" s="162"/>
      <c r="S355" s="162"/>
      <c r="T355" s="162"/>
      <c r="U355" s="162"/>
      <c r="V355" s="162"/>
      <c r="W355" s="162"/>
      <c r="X355" s="364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51">
        <v>28</v>
      </c>
      <c r="B356" s="380" t="s">
        <v>206</v>
      </c>
      <c r="C356" s="379">
        <v>2017</v>
      </c>
      <c r="D356" s="450">
        <v>2023</v>
      </c>
      <c r="E356" s="469" t="s">
        <v>27</v>
      </c>
      <c r="F356" s="386"/>
      <c r="G356" s="385">
        <v>60016</v>
      </c>
      <c r="H356" s="170">
        <v>6050</v>
      </c>
      <c r="I356" s="155" t="s">
        <v>28</v>
      </c>
      <c r="J356" s="164"/>
      <c r="K356" s="186"/>
      <c r="L356" s="164">
        <v>0</v>
      </c>
      <c r="M356" s="164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64">
        <f>SUM(K360:P360)</f>
        <v>0</v>
      </c>
      <c r="Y356" s="141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51"/>
      <c r="B357" s="380"/>
      <c r="C357" s="379"/>
      <c r="D357" s="450"/>
      <c r="E357" s="469"/>
      <c r="F357" s="386"/>
      <c r="G357" s="385"/>
      <c r="H357" s="170"/>
      <c r="I357" s="155" t="s">
        <v>31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64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51"/>
      <c r="B358" s="380"/>
      <c r="C358" s="379"/>
      <c r="D358" s="450"/>
      <c r="E358" s="469"/>
      <c r="F358" s="386"/>
      <c r="G358" s="385"/>
      <c r="H358" s="170"/>
      <c r="I358" s="155" t="s">
        <v>30</v>
      </c>
      <c r="J358" s="164"/>
      <c r="K358" s="186"/>
      <c r="L358" s="164"/>
      <c r="M358" s="169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364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5" hidden="1" customHeight="1">
      <c r="A359" s="351"/>
      <c r="B359" s="380"/>
      <c r="C359" s="379"/>
      <c r="D359" s="450"/>
      <c r="E359" s="469"/>
      <c r="F359" s="386"/>
      <c r="G359" s="385"/>
      <c r="H359" s="170">
        <v>6050</v>
      </c>
      <c r="I359" s="155" t="s">
        <v>104</v>
      </c>
      <c r="J359" s="164"/>
      <c r="K359" s="186"/>
      <c r="L359" s="164"/>
      <c r="M359" s="169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364"/>
      <c r="Y359" s="40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5" hidden="1" customHeight="1">
      <c r="A360" s="351"/>
      <c r="B360" s="380"/>
      <c r="C360" s="379"/>
      <c r="D360" s="450"/>
      <c r="E360" s="469"/>
      <c r="F360" s="386"/>
      <c r="G360" s="385"/>
      <c r="H360" s="170"/>
      <c r="I360" s="160" t="s">
        <v>26</v>
      </c>
      <c r="J360" s="161">
        <f t="shared" ref="J360:P360" si="106">SUM(J356:J359)</f>
        <v>0</v>
      </c>
      <c r="K360" s="161">
        <f t="shared" si="106"/>
        <v>0</v>
      </c>
      <c r="L360" s="161">
        <f t="shared" si="106"/>
        <v>0</v>
      </c>
      <c r="M360" s="161">
        <f t="shared" si="106"/>
        <v>0</v>
      </c>
      <c r="N360" s="161">
        <f t="shared" si="106"/>
        <v>0</v>
      </c>
      <c r="O360" s="161">
        <f t="shared" si="106"/>
        <v>0</v>
      </c>
      <c r="P360" s="161">
        <f t="shared" si="106"/>
        <v>0</v>
      </c>
      <c r="Q360" s="161"/>
      <c r="R360" s="161"/>
      <c r="S360" s="161"/>
      <c r="T360" s="161"/>
      <c r="U360" s="161"/>
      <c r="V360" s="161"/>
      <c r="W360" s="161"/>
      <c r="X360" s="364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51">
        <v>26</v>
      </c>
      <c r="B361" s="378" t="s">
        <v>62</v>
      </c>
      <c r="C361" s="379">
        <v>2017</v>
      </c>
      <c r="D361" s="450">
        <v>2031</v>
      </c>
      <c r="E361" s="360" t="s">
        <v>258</v>
      </c>
      <c r="F361" s="386">
        <f>427004+X361</f>
        <v>827004</v>
      </c>
      <c r="G361" s="385">
        <v>60016</v>
      </c>
      <c r="H361" s="170">
        <v>6050</v>
      </c>
      <c r="I361" s="155" t="s">
        <v>28</v>
      </c>
      <c r="J361" s="164">
        <v>228000</v>
      </c>
      <c r="K361" s="164">
        <v>110000</v>
      </c>
      <c r="L361" s="164"/>
      <c r="M361" s="242">
        <v>0</v>
      </c>
      <c r="N361" s="167"/>
      <c r="O361" s="164"/>
      <c r="P361" s="164"/>
      <c r="Q361" s="164"/>
      <c r="R361" s="164">
        <v>0</v>
      </c>
      <c r="S361" s="164">
        <v>200000</v>
      </c>
      <c r="T361" s="164">
        <v>200000</v>
      </c>
      <c r="U361" s="164"/>
      <c r="V361" s="164"/>
      <c r="W361" s="164"/>
      <c r="X361" s="364">
        <f>SUM(L365:W365)</f>
        <v>400000</v>
      </c>
      <c r="Y361" s="141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51"/>
      <c r="B362" s="378"/>
      <c r="C362" s="379"/>
      <c r="D362" s="450"/>
      <c r="E362" s="360"/>
      <c r="F362" s="386"/>
      <c r="G362" s="385"/>
      <c r="H362" s="170"/>
      <c r="I362" s="155" t="s">
        <v>31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64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" customHeight="1">
      <c r="A363" s="351"/>
      <c r="B363" s="378"/>
      <c r="C363" s="379"/>
      <c r="D363" s="450"/>
      <c r="E363" s="360"/>
      <c r="F363" s="386"/>
      <c r="G363" s="385"/>
      <c r="H363" s="170"/>
      <c r="I363" s="155" t="s">
        <v>30</v>
      </c>
      <c r="J363" s="158"/>
      <c r="K363" s="158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364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" customHeight="1">
      <c r="A364" s="351"/>
      <c r="B364" s="378"/>
      <c r="C364" s="379"/>
      <c r="D364" s="450"/>
      <c r="E364" s="360"/>
      <c r="F364" s="386"/>
      <c r="G364" s="385"/>
      <c r="H364" s="170"/>
      <c r="I364" s="155" t="s">
        <v>33</v>
      </c>
      <c r="J364" s="158"/>
      <c r="K364" s="158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364"/>
      <c r="Y364" s="40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customHeight="1">
      <c r="A365" s="351"/>
      <c r="B365" s="378"/>
      <c r="C365" s="379"/>
      <c r="D365" s="450"/>
      <c r="E365" s="360"/>
      <c r="F365" s="386"/>
      <c r="G365" s="385"/>
      <c r="H365" s="170"/>
      <c r="I365" s="221" t="s">
        <v>26</v>
      </c>
      <c r="J365" s="162">
        <f t="shared" ref="J365:N365" si="107">SUM(J361:J364)</f>
        <v>228000</v>
      </c>
      <c r="K365" s="162">
        <f t="shared" si="107"/>
        <v>110000</v>
      </c>
      <c r="L365" s="162">
        <f t="shared" si="107"/>
        <v>0</v>
      </c>
      <c r="M365" s="162">
        <f t="shared" si="107"/>
        <v>0</v>
      </c>
      <c r="N365" s="162">
        <f t="shared" si="107"/>
        <v>0</v>
      </c>
      <c r="O365" s="162">
        <f>SUM(O361:O364)</f>
        <v>0</v>
      </c>
      <c r="P365" s="162">
        <f>SUM(P361:P364)</f>
        <v>0</v>
      </c>
      <c r="Q365" s="162">
        <f t="shared" ref="Q365:R365" si="108">SUM(Q361:Q364)</f>
        <v>0</v>
      </c>
      <c r="R365" s="162">
        <f t="shared" si="108"/>
        <v>0</v>
      </c>
      <c r="S365" s="162">
        <f t="shared" ref="S365" si="109">SUM(S361:S364)</f>
        <v>200000</v>
      </c>
      <c r="T365" s="162">
        <f t="shared" ref="T365" si="110">SUM(T361:T364)</f>
        <v>200000</v>
      </c>
      <c r="U365" s="162">
        <f t="shared" ref="U365" si="111">SUM(U361:U364)</f>
        <v>0</v>
      </c>
      <c r="V365" s="162">
        <f t="shared" ref="V365" si="112">SUM(V361:V364)</f>
        <v>0</v>
      </c>
      <c r="W365" s="162">
        <f t="shared" ref="W365" si="113">SUM(W361:W364)</f>
        <v>0</v>
      </c>
      <c r="X365" s="364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51"/>
      <c r="B366" s="382" t="s">
        <v>129</v>
      </c>
      <c r="C366" s="449">
        <v>2017</v>
      </c>
      <c r="D366" s="517">
        <v>2019</v>
      </c>
      <c r="E366" s="545" t="s">
        <v>27</v>
      </c>
      <c r="F366" s="544"/>
      <c r="G366" s="479">
        <v>60016</v>
      </c>
      <c r="H366" s="119">
        <v>6050</v>
      </c>
      <c r="I366" s="92" t="s">
        <v>28</v>
      </c>
      <c r="J366" s="94">
        <v>182000</v>
      </c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76"/>
      <c r="Y366" s="141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51"/>
      <c r="B367" s="382"/>
      <c r="C367" s="449"/>
      <c r="D367" s="517"/>
      <c r="E367" s="545"/>
      <c r="F367" s="544"/>
      <c r="G367" s="479"/>
      <c r="H367" s="119"/>
      <c r="I367" s="92" t="s">
        <v>31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76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51"/>
      <c r="B368" s="382"/>
      <c r="C368" s="449"/>
      <c r="D368" s="517"/>
      <c r="E368" s="545"/>
      <c r="F368" s="544"/>
      <c r="G368" s="479"/>
      <c r="H368" s="119"/>
      <c r="I368" s="92" t="s">
        <v>30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376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51"/>
      <c r="B369" s="382"/>
      <c r="C369" s="449"/>
      <c r="D369" s="517"/>
      <c r="E369" s="545"/>
      <c r="F369" s="544"/>
      <c r="G369" s="479"/>
      <c r="H369" s="119">
        <v>6050</v>
      </c>
      <c r="I369" s="92" t="s">
        <v>52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376"/>
      <c r="Y369" s="40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2.75" hidden="1" customHeight="1">
      <c r="A370" s="351"/>
      <c r="B370" s="382"/>
      <c r="C370" s="449"/>
      <c r="D370" s="517"/>
      <c r="E370" s="545"/>
      <c r="F370" s="544"/>
      <c r="G370" s="479"/>
      <c r="H370" s="113"/>
      <c r="I370" s="101" t="s">
        <v>26</v>
      </c>
      <c r="J370" s="102">
        <f t="shared" ref="J370:P370" si="114">SUM(J366:J369)</f>
        <v>182000</v>
      </c>
      <c r="K370" s="103">
        <f t="shared" si="114"/>
        <v>0</v>
      </c>
      <c r="L370" s="103">
        <f t="shared" si="114"/>
        <v>0</v>
      </c>
      <c r="M370" s="103">
        <f t="shared" si="114"/>
        <v>0</v>
      </c>
      <c r="N370" s="103">
        <f t="shared" si="114"/>
        <v>0</v>
      </c>
      <c r="O370" s="103">
        <f t="shared" si="114"/>
        <v>0</v>
      </c>
      <c r="P370" s="103">
        <f t="shared" si="114"/>
        <v>0</v>
      </c>
      <c r="Q370" s="103"/>
      <c r="R370" s="103"/>
      <c r="S370" s="103"/>
      <c r="T370" s="103"/>
      <c r="U370" s="103"/>
      <c r="V370" s="103"/>
      <c r="W370" s="103"/>
      <c r="X370" s="376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2.75" hidden="1" customHeight="1">
      <c r="A371" s="351">
        <v>29</v>
      </c>
      <c r="B371" s="380" t="s">
        <v>80</v>
      </c>
      <c r="C371" s="449">
        <v>2016</v>
      </c>
      <c r="D371" s="517">
        <v>2025</v>
      </c>
      <c r="E371" s="545" t="s">
        <v>27</v>
      </c>
      <c r="F371" s="413">
        <v>0</v>
      </c>
      <c r="G371" s="479">
        <v>60016</v>
      </c>
      <c r="H371" s="113">
        <v>6050</v>
      </c>
      <c r="I371" s="114" t="s">
        <v>28</v>
      </c>
      <c r="J371" s="94">
        <v>39066</v>
      </c>
      <c r="K371" s="94">
        <f>70000-70000</f>
        <v>0</v>
      </c>
      <c r="L371" s="94"/>
      <c r="M371" s="94"/>
      <c r="N371" s="93"/>
      <c r="O371" s="94"/>
      <c r="P371" s="93"/>
      <c r="Q371" s="93"/>
      <c r="R371" s="93"/>
      <c r="S371" s="93"/>
      <c r="T371" s="93"/>
      <c r="U371" s="93"/>
      <c r="V371" s="93"/>
      <c r="W371" s="93"/>
      <c r="X371" s="376">
        <f>SUM(L375:P375)</f>
        <v>0</v>
      </c>
      <c r="Y371" s="141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6.5" hidden="1" customHeight="1">
      <c r="A372" s="351"/>
      <c r="B372" s="380"/>
      <c r="C372" s="449"/>
      <c r="D372" s="517"/>
      <c r="E372" s="545"/>
      <c r="F372" s="413"/>
      <c r="G372" s="479"/>
      <c r="H372" s="119"/>
      <c r="I372" s="92" t="s">
        <v>31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76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6.5" hidden="1" customHeight="1">
      <c r="A373" s="351"/>
      <c r="B373" s="380"/>
      <c r="C373" s="449"/>
      <c r="D373" s="517"/>
      <c r="E373" s="545"/>
      <c r="F373" s="413"/>
      <c r="G373" s="479"/>
      <c r="H373" s="119"/>
      <c r="I373" s="92" t="s">
        <v>30</v>
      </c>
      <c r="J373" s="95"/>
      <c r="K373" s="95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376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0.5" hidden="1" customHeight="1">
      <c r="A374" s="351"/>
      <c r="B374" s="380"/>
      <c r="C374" s="449"/>
      <c r="D374" s="517"/>
      <c r="E374" s="545"/>
      <c r="F374" s="413"/>
      <c r="G374" s="479"/>
      <c r="H374" s="119"/>
      <c r="I374" s="92" t="s">
        <v>33</v>
      </c>
      <c r="J374" s="95"/>
      <c r="K374" s="95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376"/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hidden="1" customHeight="1">
      <c r="A375" s="351"/>
      <c r="B375" s="380"/>
      <c r="C375" s="449"/>
      <c r="D375" s="517"/>
      <c r="E375" s="545"/>
      <c r="F375" s="413"/>
      <c r="G375" s="479"/>
      <c r="H375" s="119"/>
      <c r="I375" s="145" t="s">
        <v>26</v>
      </c>
      <c r="J375" s="103">
        <f t="shared" ref="J375:P375" si="115">SUM(J371:J374)</f>
        <v>39066</v>
      </c>
      <c r="K375" s="103">
        <f t="shared" si="115"/>
        <v>0</v>
      </c>
      <c r="L375" s="103">
        <f t="shared" si="115"/>
        <v>0</v>
      </c>
      <c r="M375" s="103">
        <f t="shared" si="115"/>
        <v>0</v>
      </c>
      <c r="N375" s="103">
        <f t="shared" si="115"/>
        <v>0</v>
      </c>
      <c r="O375" s="103">
        <f t="shared" si="115"/>
        <v>0</v>
      </c>
      <c r="P375" s="103">
        <f t="shared" si="115"/>
        <v>0</v>
      </c>
      <c r="Q375" s="103"/>
      <c r="R375" s="103"/>
      <c r="S375" s="103"/>
      <c r="T375" s="103"/>
      <c r="U375" s="103"/>
      <c r="V375" s="103"/>
      <c r="W375" s="103"/>
      <c r="X375" s="376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65">
        <v>27</v>
      </c>
      <c r="B376" s="378" t="s">
        <v>145</v>
      </c>
      <c r="C376" s="379">
        <v>2014</v>
      </c>
      <c r="D376" s="450">
        <v>2031</v>
      </c>
      <c r="E376" s="360" t="s">
        <v>258</v>
      </c>
      <c r="F376" s="386">
        <f>60640+X376</f>
        <v>760640</v>
      </c>
      <c r="G376" s="385">
        <v>60016</v>
      </c>
      <c r="H376" s="170">
        <v>6050</v>
      </c>
      <c r="I376" s="155" t="s">
        <v>28</v>
      </c>
      <c r="J376" s="164">
        <v>228000</v>
      </c>
      <c r="K376" s="164">
        <v>110000</v>
      </c>
      <c r="L376" s="164"/>
      <c r="M376" s="242">
        <v>0</v>
      </c>
      <c r="N376" s="243"/>
      <c r="O376" s="244"/>
      <c r="P376" s="164"/>
      <c r="Q376" s="164"/>
      <c r="R376" s="164"/>
      <c r="S376" s="164">
        <v>300000</v>
      </c>
      <c r="T376" s="164">
        <v>400000</v>
      </c>
      <c r="U376" s="164"/>
      <c r="V376" s="164"/>
      <c r="W376" s="164"/>
      <c r="X376" s="364">
        <f>SUM(L380:W380)</f>
        <v>700000</v>
      </c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66"/>
      <c r="B377" s="378"/>
      <c r="C377" s="379"/>
      <c r="D377" s="450"/>
      <c r="E377" s="360"/>
      <c r="F377" s="386"/>
      <c r="G377" s="385"/>
      <c r="H377" s="170"/>
      <c r="I377" s="155" t="s">
        <v>31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64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2" customHeight="1">
      <c r="A378" s="366"/>
      <c r="B378" s="378"/>
      <c r="C378" s="379"/>
      <c r="D378" s="450"/>
      <c r="E378" s="360"/>
      <c r="F378" s="386"/>
      <c r="G378" s="385"/>
      <c r="H378" s="170"/>
      <c r="I378" s="155" t="s">
        <v>30</v>
      </c>
      <c r="J378" s="158"/>
      <c r="K378" s="158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364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66"/>
      <c r="B379" s="378"/>
      <c r="C379" s="379"/>
      <c r="D379" s="450"/>
      <c r="E379" s="360"/>
      <c r="F379" s="386"/>
      <c r="G379" s="385"/>
      <c r="H379" s="170"/>
      <c r="I379" s="155" t="s">
        <v>33</v>
      </c>
      <c r="J379" s="158"/>
      <c r="K379" s="158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364"/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1.25" customHeight="1">
      <c r="A380" s="367"/>
      <c r="B380" s="378"/>
      <c r="C380" s="379"/>
      <c r="D380" s="450"/>
      <c r="E380" s="360"/>
      <c r="F380" s="386"/>
      <c r="G380" s="385"/>
      <c r="H380" s="170"/>
      <c r="I380" s="221" t="s">
        <v>26</v>
      </c>
      <c r="J380" s="162">
        <f t="shared" ref="J380:N380" si="116">SUM(J376:J379)</f>
        <v>228000</v>
      </c>
      <c r="K380" s="162">
        <f t="shared" si="116"/>
        <v>110000</v>
      </c>
      <c r="L380" s="162">
        <f t="shared" si="116"/>
        <v>0</v>
      </c>
      <c r="M380" s="162">
        <f t="shared" si="116"/>
        <v>0</v>
      </c>
      <c r="N380" s="162">
        <f t="shared" si="116"/>
        <v>0</v>
      </c>
      <c r="O380" s="162">
        <f>SUM(O376:O379)</f>
        <v>0</v>
      </c>
      <c r="P380" s="162">
        <f>SUM(P376:P379)</f>
        <v>0</v>
      </c>
      <c r="Q380" s="162">
        <f t="shared" ref="Q380:W380" si="117">SUM(Q376:Q379)</f>
        <v>0</v>
      </c>
      <c r="R380" s="162">
        <f t="shared" si="117"/>
        <v>0</v>
      </c>
      <c r="S380" s="162">
        <f t="shared" si="117"/>
        <v>300000</v>
      </c>
      <c r="T380" s="162">
        <f t="shared" si="117"/>
        <v>400000</v>
      </c>
      <c r="U380" s="162">
        <f t="shared" si="117"/>
        <v>0</v>
      </c>
      <c r="V380" s="162">
        <f t="shared" si="117"/>
        <v>0</v>
      </c>
      <c r="W380" s="162">
        <f t="shared" si="117"/>
        <v>0</v>
      </c>
      <c r="X380" s="364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51">
        <v>28</v>
      </c>
      <c r="B381" s="377" t="s">
        <v>185</v>
      </c>
      <c r="C381" s="371">
        <v>2024</v>
      </c>
      <c r="D381" s="450">
        <v>2027</v>
      </c>
      <c r="E381" s="360" t="s">
        <v>258</v>
      </c>
      <c r="F381" s="386">
        <f>X381+175000</f>
        <v>1220000</v>
      </c>
      <c r="G381" s="385">
        <v>60016</v>
      </c>
      <c r="H381" s="170">
        <v>6050</v>
      </c>
      <c r="I381" s="163" t="s">
        <v>28</v>
      </c>
      <c r="J381" s="164">
        <v>40363</v>
      </c>
      <c r="K381" s="157">
        <v>0</v>
      </c>
      <c r="L381" s="164">
        <v>0</v>
      </c>
      <c r="M381" s="164"/>
      <c r="N381" s="164">
        <v>25000</v>
      </c>
      <c r="O381" s="164">
        <v>120000</v>
      </c>
      <c r="P381" s="164">
        <v>900000</v>
      </c>
      <c r="Q381" s="164">
        <v>0</v>
      </c>
      <c r="R381" s="164">
        <v>0</v>
      </c>
      <c r="S381" s="164"/>
      <c r="T381" s="157"/>
      <c r="U381" s="157"/>
      <c r="V381" s="157"/>
      <c r="W381" s="157"/>
      <c r="X381" s="364">
        <f>SUM(L385:W385)</f>
        <v>1045000</v>
      </c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51"/>
      <c r="B382" s="377"/>
      <c r="C382" s="371"/>
      <c r="D382" s="450"/>
      <c r="E382" s="360"/>
      <c r="F382" s="386"/>
      <c r="G382" s="385"/>
      <c r="H382" s="170"/>
      <c r="I382" s="155" t="s">
        <v>31</v>
      </c>
      <c r="J382" s="157"/>
      <c r="K382" s="158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64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51"/>
      <c r="B383" s="377"/>
      <c r="C383" s="371"/>
      <c r="D383" s="450"/>
      <c r="E383" s="360"/>
      <c r="F383" s="386"/>
      <c r="G383" s="385"/>
      <c r="H383" s="170"/>
      <c r="I383" s="155" t="s">
        <v>33</v>
      </c>
      <c r="J383" s="157"/>
      <c r="K383" s="156">
        <v>12000</v>
      </c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364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" customHeight="1">
      <c r="A384" s="351"/>
      <c r="B384" s="377"/>
      <c r="C384" s="371"/>
      <c r="D384" s="450"/>
      <c r="E384" s="360"/>
      <c r="F384" s="386"/>
      <c r="G384" s="385"/>
      <c r="I384" s="155" t="s">
        <v>70</v>
      </c>
      <c r="J384" s="157">
        <v>17323</v>
      </c>
      <c r="K384" s="158">
        <v>16166</v>
      </c>
      <c r="L384" s="158"/>
      <c r="M384" s="187">
        <v>0</v>
      </c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364"/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" customHeight="1">
      <c r="A385" s="351"/>
      <c r="B385" s="377"/>
      <c r="C385" s="371"/>
      <c r="D385" s="450"/>
      <c r="E385" s="360"/>
      <c r="F385" s="386"/>
      <c r="G385" s="385"/>
      <c r="H385" s="170"/>
      <c r="I385" s="160" t="s">
        <v>26</v>
      </c>
      <c r="J385" s="161">
        <f>SUM(J381:J384)</f>
        <v>57686</v>
      </c>
      <c r="K385" s="162">
        <f t="shared" ref="K385:W385" si="118">SUM(K381:K384)</f>
        <v>28166</v>
      </c>
      <c r="L385" s="162">
        <f t="shared" si="118"/>
        <v>0</v>
      </c>
      <c r="M385" s="162">
        <f t="shared" si="118"/>
        <v>0</v>
      </c>
      <c r="N385" s="162">
        <f t="shared" si="118"/>
        <v>25000</v>
      </c>
      <c r="O385" s="162">
        <f t="shared" si="118"/>
        <v>120000</v>
      </c>
      <c r="P385" s="162">
        <f t="shared" si="118"/>
        <v>900000</v>
      </c>
      <c r="Q385" s="162">
        <f t="shared" si="118"/>
        <v>0</v>
      </c>
      <c r="R385" s="162">
        <f t="shared" si="118"/>
        <v>0</v>
      </c>
      <c r="S385" s="162">
        <f t="shared" si="118"/>
        <v>0</v>
      </c>
      <c r="T385" s="162">
        <f t="shared" si="118"/>
        <v>0</v>
      </c>
      <c r="U385" s="162">
        <f t="shared" si="118"/>
        <v>0</v>
      </c>
      <c r="V385" s="162">
        <f t="shared" si="118"/>
        <v>0</v>
      </c>
      <c r="W385" s="162">
        <f t="shared" si="118"/>
        <v>0</v>
      </c>
      <c r="X385" s="364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51">
        <v>29</v>
      </c>
      <c r="B386" s="377" t="s">
        <v>184</v>
      </c>
      <c r="C386" s="379">
        <v>2023</v>
      </c>
      <c r="D386" s="450">
        <v>2027</v>
      </c>
      <c r="E386" s="360" t="s">
        <v>258</v>
      </c>
      <c r="F386" s="386">
        <f>X386</f>
        <v>1200000</v>
      </c>
      <c r="G386" s="385">
        <v>60016</v>
      </c>
      <c r="H386" s="170">
        <v>6050</v>
      </c>
      <c r="I386" s="163" t="s">
        <v>28</v>
      </c>
      <c r="J386" s="164">
        <v>40363</v>
      </c>
      <c r="K386" s="157">
        <v>0</v>
      </c>
      <c r="L386" s="164">
        <v>0</v>
      </c>
      <c r="M386" s="164">
        <v>0</v>
      </c>
      <c r="N386" s="164">
        <v>0</v>
      </c>
      <c r="O386" s="164">
        <v>100000</v>
      </c>
      <c r="P386" s="164">
        <v>1100000</v>
      </c>
      <c r="R386" s="164"/>
      <c r="S386" s="164"/>
      <c r="T386" s="157"/>
      <c r="U386" s="157"/>
      <c r="V386" s="157"/>
      <c r="W386" s="157"/>
      <c r="X386" s="364">
        <f>SUM(L390:W390)</f>
        <v>1200000</v>
      </c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51"/>
      <c r="B387" s="377"/>
      <c r="C387" s="379"/>
      <c r="D387" s="450"/>
      <c r="E387" s="360"/>
      <c r="F387" s="386"/>
      <c r="G387" s="385"/>
      <c r="H387" s="170"/>
      <c r="I387" s="155" t="s">
        <v>31</v>
      </c>
      <c r="J387" s="157"/>
      <c r="K387" s="158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64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.6" customHeight="1">
      <c r="A388" s="351"/>
      <c r="B388" s="377"/>
      <c r="C388" s="379"/>
      <c r="D388" s="450"/>
      <c r="E388" s="360"/>
      <c r="F388" s="386"/>
      <c r="G388" s="385"/>
      <c r="H388" s="170"/>
      <c r="I388" s="155" t="s">
        <v>33</v>
      </c>
      <c r="J388" s="157"/>
      <c r="K388" s="156">
        <v>12000</v>
      </c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364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2.6" customHeight="1">
      <c r="A389" s="351"/>
      <c r="B389" s="377"/>
      <c r="C389" s="379"/>
      <c r="D389" s="450"/>
      <c r="E389" s="360"/>
      <c r="F389" s="386"/>
      <c r="G389" s="385"/>
      <c r="I389" s="155" t="s">
        <v>70</v>
      </c>
      <c r="J389" s="157">
        <v>17323</v>
      </c>
      <c r="K389" s="158">
        <v>16166</v>
      </c>
      <c r="L389" s="158"/>
      <c r="M389" s="187">
        <v>0</v>
      </c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364"/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2" customHeight="1">
      <c r="A390" s="351"/>
      <c r="B390" s="377"/>
      <c r="C390" s="379"/>
      <c r="D390" s="450"/>
      <c r="E390" s="360"/>
      <c r="F390" s="386"/>
      <c r="G390" s="385"/>
      <c r="H390" s="170"/>
      <c r="I390" s="160" t="s">
        <v>26</v>
      </c>
      <c r="J390" s="161">
        <f>SUM(J386:J389)</f>
        <v>57686</v>
      </c>
      <c r="K390" s="162">
        <f t="shared" ref="K390:W390" si="119">SUM(K386:K389)</f>
        <v>28166</v>
      </c>
      <c r="L390" s="162">
        <f t="shared" si="119"/>
        <v>0</v>
      </c>
      <c r="M390" s="162">
        <f t="shared" si="119"/>
        <v>0</v>
      </c>
      <c r="N390" s="162">
        <f>SUM(N386:N389)</f>
        <v>0</v>
      </c>
      <c r="O390" s="162">
        <f t="shared" si="119"/>
        <v>100000</v>
      </c>
      <c r="P390" s="162">
        <f t="shared" si="119"/>
        <v>1100000</v>
      </c>
      <c r="Q390" s="162">
        <f t="shared" si="119"/>
        <v>0</v>
      </c>
      <c r="R390" s="162">
        <f t="shared" si="119"/>
        <v>0</v>
      </c>
      <c r="S390" s="162">
        <f t="shared" si="119"/>
        <v>0</v>
      </c>
      <c r="T390" s="162">
        <f t="shared" si="119"/>
        <v>0</v>
      </c>
      <c r="U390" s="162">
        <f t="shared" si="119"/>
        <v>0</v>
      </c>
      <c r="V390" s="162">
        <f t="shared" si="119"/>
        <v>0</v>
      </c>
      <c r="W390" s="162">
        <f t="shared" si="119"/>
        <v>0</v>
      </c>
      <c r="X390" s="364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51">
        <v>30</v>
      </c>
      <c r="B391" s="378" t="s">
        <v>183</v>
      </c>
      <c r="C391" s="379">
        <v>2022</v>
      </c>
      <c r="D391" s="450">
        <v>2030</v>
      </c>
      <c r="E391" s="360" t="s">
        <v>258</v>
      </c>
      <c r="F391" s="386">
        <f>81574+X391</f>
        <v>1881574</v>
      </c>
      <c r="G391" s="385">
        <v>60016</v>
      </c>
      <c r="H391" s="170">
        <v>6050</v>
      </c>
      <c r="I391" s="163" t="s">
        <v>28</v>
      </c>
      <c r="J391" s="164">
        <v>40363</v>
      </c>
      <c r="K391" s="157">
        <v>0</v>
      </c>
      <c r="L391" s="164">
        <v>0</v>
      </c>
      <c r="M391" s="164"/>
      <c r="N391" s="157"/>
      <c r="O391" s="157"/>
      <c r="P391" s="164">
        <v>200000</v>
      </c>
      <c r="Q391" s="164">
        <v>500000</v>
      </c>
      <c r="R391" s="164">
        <v>480000</v>
      </c>
      <c r="S391" s="164">
        <v>620000</v>
      </c>
      <c r="T391" s="157"/>
      <c r="U391" s="157"/>
      <c r="V391" s="157"/>
      <c r="W391" s="157"/>
      <c r="X391" s="364">
        <f>SUM(L395:W395)</f>
        <v>1800000</v>
      </c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51"/>
      <c r="B392" s="378"/>
      <c r="C392" s="379"/>
      <c r="D392" s="450"/>
      <c r="E392" s="360"/>
      <c r="F392" s="386"/>
      <c r="G392" s="385"/>
      <c r="H392" s="170"/>
      <c r="I392" s="155" t="s">
        <v>31</v>
      </c>
      <c r="J392" s="157"/>
      <c r="K392" s="158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64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3.15" customHeight="1">
      <c r="A393" s="351"/>
      <c r="B393" s="378"/>
      <c r="C393" s="379"/>
      <c r="D393" s="450"/>
      <c r="E393" s="360"/>
      <c r="F393" s="386"/>
      <c r="G393" s="385"/>
      <c r="H393" s="170"/>
      <c r="I393" s="155" t="s">
        <v>33</v>
      </c>
      <c r="J393" s="157"/>
      <c r="K393" s="156">
        <v>12000</v>
      </c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364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51"/>
      <c r="B394" s="378"/>
      <c r="C394" s="379"/>
      <c r="D394" s="450"/>
      <c r="E394" s="360"/>
      <c r="F394" s="386"/>
      <c r="G394" s="385"/>
      <c r="I394" s="155" t="s">
        <v>70</v>
      </c>
      <c r="J394" s="157">
        <v>17323</v>
      </c>
      <c r="K394" s="158">
        <v>16166</v>
      </c>
      <c r="L394" s="158"/>
      <c r="M394" s="187">
        <v>0</v>
      </c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364"/>
      <c r="Y394" s="40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1.25" customHeight="1">
      <c r="A395" s="351"/>
      <c r="B395" s="378"/>
      <c r="C395" s="379"/>
      <c r="D395" s="450"/>
      <c r="E395" s="360"/>
      <c r="F395" s="386"/>
      <c r="G395" s="385"/>
      <c r="H395" s="170"/>
      <c r="I395" s="160" t="s">
        <v>26</v>
      </c>
      <c r="J395" s="161">
        <f>SUM(J391:J394)</f>
        <v>57686</v>
      </c>
      <c r="K395" s="162">
        <f t="shared" ref="K395:W395" si="120">SUM(K391:K394)</f>
        <v>28166</v>
      </c>
      <c r="L395" s="162">
        <f t="shared" si="120"/>
        <v>0</v>
      </c>
      <c r="M395" s="162">
        <f t="shared" si="120"/>
        <v>0</v>
      </c>
      <c r="N395" s="162">
        <f t="shared" si="120"/>
        <v>0</v>
      </c>
      <c r="O395" s="162">
        <f t="shared" si="120"/>
        <v>0</v>
      </c>
      <c r="P395" s="162">
        <f t="shared" si="120"/>
        <v>200000</v>
      </c>
      <c r="Q395" s="162">
        <f t="shared" si="120"/>
        <v>500000</v>
      </c>
      <c r="R395" s="162">
        <f t="shared" si="120"/>
        <v>480000</v>
      </c>
      <c r="S395" s="162">
        <f t="shared" si="120"/>
        <v>620000</v>
      </c>
      <c r="T395" s="162">
        <f t="shared" si="120"/>
        <v>0</v>
      </c>
      <c r="U395" s="162">
        <f t="shared" si="120"/>
        <v>0</v>
      </c>
      <c r="V395" s="162">
        <f t="shared" si="120"/>
        <v>0</v>
      </c>
      <c r="W395" s="162">
        <f t="shared" si="120"/>
        <v>0</v>
      </c>
      <c r="X395" s="364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51">
        <v>31</v>
      </c>
      <c r="B396" s="377" t="s">
        <v>210</v>
      </c>
      <c r="C396" s="379">
        <v>2024</v>
      </c>
      <c r="D396" s="450">
        <v>2026</v>
      </c>
      <c r="E396" s="360" t="s">
        <v>258</v>
      </c>
      <c r="F396" s="386">
        <f>X396</f>
        <v>100000</v>
      </c>
      <c r="G396" s="385">
        <v>60016</v>
      </c>
      <c r="H396" s="170">
        <v>6050</v>
      </c>
      <c r="I396" s="163" t="s">
        <v>28</v>
      </c>
      <c r="J396" s="164">
        <v>40363</v>
      </c>
      <c r="K396" s="157">
        <v>0</v>
      </c>
      <c r="L396" s="164">
        <v>0</v>
      </c>
      <c r="M396" s="164"/>
      <c r="N396" s="164">
        <v>0</v>
      </c>
      <c r="O396" s="164">
        <v>100000</v>
      </c>
      <c r="P396" s="157"/>
      <c r="Q396" s="157"/>
      <c r="R396" s="157"/>
      <c r="S396" s="157"/>
      <c r="T396" s="157"/>
      <c r="U396" s="157"/>
      <c r="V396" s="157"/>
      <c r="W396" s="157"/>
      <c r="X396" s="364">
        <f>SUM(L400:W400)</f>
        <v>100000</v>
      </c>
      <c r="Y396" s="141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51"/>
      <c r="B397" s="377"/>
      <c r="C397" s="379"/>
      <c r="D397" s="450"/>
      <c r="E397" s="360"/>
      <c r="F397" s="386"/>
      <c r="G397" s="385"/>
      <c r="H397" s="170"/>
      <c r="I397" s="155" t="s">
        <v>31</v>
      </c>
      <c r="J397" s="157"/>
      <c r="K397" s="158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64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15" customHeight="1">
      <c r="A398" s="351"/>
      <c r="B398" s="377"/>
      <c r="C398" s="379"/>
      <c r="D398" s="450"/>
      <c r="E398" s="360"/>
      <c r="F398" s="386"/>
      <c r="G398" s="385"/>
      <c r="H398" s="170"/>
      <c r="I398" s="155" t="s">
        <v>33</v>
      </c>
      <c r="J398" s="157"/>
      <c r="K398" s="156">
        <v>12000</v>
      </c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364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3.15" customHeight="1">
      <c r="A399" s="351"/>
      <c r="B399" s="377"/>
      <c r="C399" s="379"/>
      <c r="D399" s="450"/>
      <c r="E399" s="360"/>
      <c r="F399" s="386"/>
      <c r="G399" s="385"/>
      <c r="I399" s="155" t="s">
        <v>70</v>
      </c>
      <c r="J399" s="157">
        <v>17323</v>
      </c>
      <c r="K399" s="158">
        <v>16166</v>
      </c>
      <c r="L399" s="158"/>
      <c r="M399" s="156">
        <v>0</v>
      </c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364"/>
      <c r="Y399" s="40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3.9" customHeight="1">
      <c r="A400" s="351"/>
      <c r="B400" s="377"/>
      <c r="C400" s="379"/>
      <c r="D400" s="450"/>
      <c r="E400" s="360"/>
      <c r="F400" s="386"/>
      <c r="G400" s="385"/>
      <c r="H400" s="170"/>
      <c r="I400" s="160" t="s">
        <v>26</v>
      </c>
      <c r="J400" s="161">
        <f>SUM(J396:J399)</f>
        <v>57686</v>
      </c>
      <c r="K400" s="162">
        <f t="shared" ref="K400:P400" si="121">SUM(K396:K399)</f>
        <v>28166</v>
      </c>
      <c r="L400" s="162">
        <f t="shared" si="121"/>
        <v>0</v>
      </c>
      <c r="M400" s="162">
        <f t="shared" si="121"/>
        <v>0</v>
      </c>
      <c r="N400" s="162">
        <f t="shared" si="121"/>
        <v>0</v>
      </c>
      <c r="O400" s="162">
        <f t="shared" si="121"/>
        <v>100000</v>
      </c>
      <c r="P400" s="162">
        <f t="shared" si="121"/>
        <v>0</v>
      </c>
      <c r="Q400" s="162"/>
      <c r="R400" s="162"/>
      <c r="S400" s="162"/>
      <c r="T400" s="162"/>
      <c r="U400" s="162"/>
      <c r="V400" s="162"/>
      <c r="W400" s="162"/>
      <c r="X400" s="364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51">
        <v>32</v>
      </c>
      <c r="B401" s="380" t="s">
        <v>207</v>
      </c>
      <c r="C401" s="379">
        <v>2018</v>
      </c>
      <c r="D401" s="450">
        <v>2022</v>
      </c>
      <c r="E401" s="469" t="s">
        <v>27</v>
      </c>
      <c r="F401" s="386">
        <f>X401</f>
        <v>0</v>
      </c>
      <c r="G401" s="385">
        <v>60016</v>
      </c>
      <c r="H401" s="154">
        <v>6050</v>
      </c>
      <c r="I401" s="163" t="s">
        <v>28</v>
      </c>
      <c r="J401" s="167"/>
      <c r="K401" s="164"/>
      <c r="L401" s="164"/>
      <c r="M401" s="164"/>
      <c r="N401" s="167"/>
      <c r="O401" s="157"/>
      <c r="P401" s="157"/>
      <c r="Q401" s="157"/>
      <c r="R401" s="157"/>
      <c r="S401" s="157"/>
      <c r="T401" s="157"/>
      <c r="U401" s="157"/>
      <c r="V401" s="157"/>
      <c r="W401" s="157"/>
      <c r="X401" s="364">
        <f>SUM(L405:P405)</f>
        <v>0</v>
      </c>
      <c r="Y401" s="141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51"/>
      <c r="B402" s="380"/>
      <c r="C402" s="379"/>
      <c r="D402" s="450"/>
      <c r="E402" s="469"/>
      <c r="F402" s="386"/>
      <c r="G402" s="385"/>
      <c r="H402" s="170"/>
      <c r="I402" s="155" t="s">
        <v>31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64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51"/>
      <c r="B403" s="380"/>
      <c r="C403" s="379"/>
      <c r="D403" s="450"/>
      <c r="E403" s="469"/>
      <c r="F403" s="386"/>
      <c r="G403" s="385"/>
      <c r="H403" s="170"/>
      <c r="I403" s="155" t="s">
        <v>30</v>
      </c>
      <c r="J403" s="157"/>
      <c r="K403" s="158"/>
      <c r="L403" s="186"/>
      <c r="M403" s="186"/>
      <c r="N403" s="186"/>
      <c r="O403" s="186"/>
      <c r="P403" s="186"/>
      <c r="Q403" s="186"/>
      <c r="R403" s="186"/>
      <c r="S403" s="186"/>
      <c r="T403" s="186"/>
      <c r="U403" s="186"/>
      <c r="V403" s="186"/>
      <c r="W403" s="186"/>
      <c r="X403" s="364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1.25" hidden="1" customHeight="1">
      <c r="A404" s="351"/>
      <c r="B404" s="380"/>
      <c r="C404" s="379"/>
      <c r="D404" s="450"/>
      <c r="E404" s="469"/>
      <c r="F404" s="386"/>
      <c r="G404" s="385"/>
      <c r="H404" s="170"/>
      <c r="I404" s="155" t="s">
        <v>32</v>
      </c>
      <c r="J404" s="157"/>
      <c r="K404" s="158"/>
      <c r="L404" s="186"/>
      <c r="M404" s="186"/>
      <c r="N404" s="186"/>
      <c r="O404" s="186"/>
      <c r="P404" s="186"/>
      <c r="Q404" s="186"/>
      <c r="R404" s="186"/>
      <c r="S404" s="186"/>
      <c r="T404" s="186"/>
      <c r="U404" s="186"/>
      <c r="V404" s="186"/>
      <c r="W404" s="186"/>
      <c r="X404" s="364"/>
      <c r="Y404" s="40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1.25" hidden="1" customHeight="1">
      <c r="A405" s="351"/>
      <c r="B405" s="380"/>
      <c r="C405" s="379"/>
      <c r="D405" s="450"/>
      <c r="E405" s="469"/>
      <c r="F405" s="386"/>
      <c r="G405" s="385"/>
      <c r="H405" s="170"/>
      <c r="I405" s="160" t="s">
        <v>26</v>
      </c>
      <c r="J405" s="161">
        <f>SUM(J401:J404)</f>
        <v>0</v>
      </c>
      <c r="K405" s="161">
        <f t="shared" ref="K405:P405" si="122">SUM(K401:K404)</f>
        <v>0</v>
      </c>
      <c r="L405" s="161">
        <f>SUM(L401:L404)</f>
        <v>0</v>
      </c>
      <c r="M405" s="161">
        <f t="shared" si="122"/>
        <v>0</v>
      </c>
      <c r="N405" s="162">
        <f>SUM(N401:N404)</f>
        <v>0</v>
      </c>
      <c r="O405" s="162">
        <f t="shared" si="122"/>
        <v>0</v>
      </c>
      <c r="P405" s="162">
        <f t="shared" si="122"/>
        <v>0</v>
      </c>
      <c r="Q405" s="162"/>
      <c r="R405" s="162"/>
      <c r="S405" s="162"/>
      <c r="T405" s="162"/>
      <c r="U405" s="162"/>
      <c r="V405" s="162"/>
      <c r="W405" s="162"/>
      <c r="X405" s="364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51">
        <v>32</v>
      </c>
      <c r="B406" s="378" t="s">
        <v>216</v>
      </c>
      <c r="C406" s="451">
        <v>2021</v>
      </c>
      <c r="D406" s="451">
        <v>2031</v>
      </c>
      <c r="E406" s="360" t="s">
        <v>258</v>
      </c>
      <c r="F406" s="386">
        <f>20000+X406</f>
        <v>870000</v>
      </c>
      <c r="G406" s="381">
        <v>60016</v>
      </c>
      <c r="H406" s="165">
        <v>6050</v>
      </c>
      <c r="I406" s="183" t="s">
        <v>28</v>
      </c>
      <c r="J406" s="164">
        <v>353900</v>
      </c>
      <c r="K406" s="199"/>
      <c r="L406" s="199"/>
      <c r="M406" s="199"/>
      <c r="N406" s="199"/>
      <c r="O406" s="199"/>
      <c r="P406" s="199"/>
      <c r="Q406" s="199">
        <v>0</v>
      </c>
      <c r="R406" s="169">
        <v>300000</v>
      </c>
      <c r="S406" s="169">
        <v>350000</v>
      </c>
      <c r="T406" s="169">
        <v>200000</v>
      </c>
      <c r="U406" s="199"/>
      <c r="V406" s="199"/>
      <c r="W406" s="199"/>
      <c r="X406" s="364">
        <f>SUM(L410:W410)</f>
        <v>850000</v>
      </c>
      <c r="Y406" s="141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51"/>
      <c r="B407" s="378"/>
      <c r="C407" s="451"/>
      <c r="D407" s="451"/>
      <c r="E407" s="360"/>
      <c r="F407" s="386"/>
      <c r="G407" s="381"/>
      <c r="H407" s="165">
        <v>6050</v>
      </c>
      <c r="I407" s="183" t="s">
        <v>97</v>
      </c>
      <c r="J407" s="164">
        <v>200000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64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3.9" customHeight="1">
      <c r="A408" s="351"/>
      <c r="B408" s="378"/>
      <c r="C408" s="451"/>
      <c r="D408" s="451"/>
      <c r="E408" s="360"/>
      <c r="F408" s="386"/>
      <c r="G408" s="381"/>
      <c r="H408" s="165"/>
      <c r="I408" s="183" t="s">
        <v>30</v>
      </c>
      <c r="J408" s="16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  <c r="X408" s="364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3.9" customHeight="1">
      <c r="A409" s="351"/>
      <c r="B409" s="378"/>
      <c r="C409" s="451"/>
      <c r="D409" s="451"/>
      <c r="E409" s="360"/>
      <c r="F409" s="386"/>
      <c r="G409" s="381"/>
      <c r="H409" s="165">
        <v>6050</v>
      </c>
      <c r="I409" s="163" t="s">
        <v>81</v>
      </c>
      <c r="J409" s="157">
        <v>353900</v>
      </c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  <c r="X409" s="364"/>
      <c r="Y409" s="40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0.5" customHeight="1">
      <c r="A410" s="351"/>
      <c r="B410" s="378"/>
      <c r="C410" s="451"/>
      <c r="D410" s="451"/>
      <c r="E410" s="360"/>
      <c r="F410" s="386"/>
      <c r="G410" s="381"/>
      <c r="H410" s="165"/>
      <c r="I410" s="191" t="s">
        <v>26</v>
      </c>
      <c r="J410" s="161">
        <f>SUM(J406:J409)</f>
        <v>907800</v>
      </c>
      <c r="K410" s="161">
        <f t="shared" ref="K410:W410" si="123">SUM(K406:K409)</f>
        <v>0</v>
      </c>
      <c r="L410" s="161">
        <f t="shared" si="123"/>
        <v>0</v>
      </c>
      <c r="M410" s="161">
        <f t="shared" si="123"/>
        <v>0</v>
      </c>
      <c r="N410" s="161">
        <f t="shared" si="123"/>
        <v>0</v>
      </c>
      <c r="O410" s="161">
        <f t="shared" si="123"/>
        <v>0</v>
      </c>
      <c r="P410" s="161">
        <f t="shared" si="123"/>
        <v>0</v>
      </c>
      <c r="Q410" s="161">
        <f t="shared" si="123"/>
        <v>0</v>
      </c>
      <c r="R410" s="161">
        <f t="shared" si="123"/>
        <v>300000</v>
      </c>
      <c r="S410" s="161">
        <f t="shared" si="123"/>
        <v>350000</v>
      </c>
      <c r="T410" s="161">
        <f t="shared" si="123"/>
        <v>200000</v>
      </c>
      <c r="U410" s="161">
        <f t="shared" si="123"/>
        <v>0</v>
      </c>
      <c r="V410" s="161">
        <f t="shared" si="123"/>
        <v>0</v>
      </c>
      <c r="W410" s="161">
        <f t="shared" si="123"/>
        <v>0</v>
      </c>
      <c r="X410" s="364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51">
        <v>33</v>
      </c>
      <c r="B411" s="377" t="s">
        <v>117</v>
      </c>
      <c r="C411" s="451">
        <v>2018</v>
      </c>
      <c r="D411" s="451">
        <v>2028</v>
      </c>
      <c r="E411" s="360" t="s">
        <v>258</v>
      </c>
      <c r="F411" s="386">
        <f>149720+X411</f>
        <v>1549720</v>
      </c>
      <c r="G411" s="381">
        <v>60016</v>
      </c>
      <c r="H411" s="165">
        <v>6050</v>
      </c>
      <c r="I411" s="183" t="s">
        <v>28</v>
      </c>
      <c r="J411" s="164">
        <v>69975</v>
      </c>
      <c r="K411" s="164"/>
      <c r="L411" s="164"/>
      <c r="M411" s="164"/>
      <c r="O411" s="164">
        <v>400000</v>
      </c>
      <c r="P411" s="164">
        <v>500000</v>
      </c>
      <c r="Q411" s="164">
        <v>500000</v>
      </c>
      <c r="R411" s="199"/>
      <c r="S411" s="199"/>
      <c r="T411" s="199"/>
      <c r="U411" s="199"/>
      <c r="V411" s="199"/>
      <c r="W411" s="199"/>
      <c r="X411" s="364">
        <f>SUM(M415:W415)</f>
        <v>1400000</v>
      </c>
      <c r="Y411" s="141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51"/>
      <c r="B412" s="377"/>
      <c r="C412" s="451"/>
      <c r="D412" s="451"/>
      <c r="E412" s="360"/>
      <c r="F412" s="386"/>
      <c r="G412" s="381"/>
      <c r="H412" s="165"/>
      <c r="I412" s="183" t="s">
        <v>31</v>
      </c>
      <c r="J412" s="199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  <c r="W412" s="199"/>
      <c r="X412" s="364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14.25" customHeight="1">
      <c r="A413" s="351"/>
      <c r="B413" s="377"/>
      <c r="C413" s="451"/>
      <c r="D413" s="451"/>
      <c r="E413" s="360"/>
      <c r="F413" s="386"/>
      <c r="G413" s="381"/>
      <c r="H413" s="165"/>
      <c r="I413" s="183" t="s">
        <v>30</v>
      </c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  <c r="X413" s="364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4.25" customHeight="1">
      <c r="A414" s="351"/>
      <c r="B414" s="377"/>
      <c r="C414" s="451"/>
      <c r="D414" s="451"/>
      <c r="E414" s="360"/>
      <c r="F414" s="386"/>
      <c r="G414" s="381"/>
      <c r="H414" s="165"/>
      <c r="I414" s="183" t="s">
        <v>32</v>
      </c>
      <c r="J414" s="157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  <c r="X414" s="364"/>
      <c r="Y414" s="40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9.75" customHeight="1">
      <c r="A415" s="351"/>
      <c r="B415" s="377"/>
      <c r="C415" s="451"/>
      <c r="D415" s="451"/>
      <c r="E415" s="360"/>
      <c r="F415" s="386"/>
      <c r="G415" s="381"/>
      <c r="H415" s="165"/>
      <c r="I415" s="191" t="s">
        <v>26</v>
      </c>
      <c r="J415" s="161">
        <f>SUM(J411:J414)</f>
        <v>69975</v>
      </c>
      <c r="K415" s="161">
        <f t="shared" ref="K415" si="124">SUM(K411:K414)</f>
        <v>0</v>
      </c>
      <c r="L415" s="161">
        <f t="shared" ref="L415" si="125">SUM(L411:L414)</f>
        <v>0</v>
      </c>
      <c r="M415" s="161">
        <f t="shared" ref="M415" si="126">SUM(M411:M414)</f>
        <v>0</v>
      </c>
      <c r="N415" s="161">
        <f>SUM(N411:N414)</f>
        <v>0</v>
      </c>
      <c r="O415" s="161">
        <f t="shared" ref="O415" si="127">SUM(O411:O414)</f>
        <v>400000</v>
      </c>
      <c r="P415" s="161">
        <f t="shared" ref="P415" si="128">SUM(P411:P414)</f>
        <v>500000</v>
      </c>
      <c r="Q415" s="161">
        <f>SUM(Q411:Q414)</f>
        <v>500000</v>
      </c>
      <c r="R415" s="161"/>
      <c r="S415" s="161"/>
      <c r="T415" s="161"/>
      <c r="U415" s="161"/>
      <c r="V415" s="161"/>
      <c r="W415" s="161"/>
      <c r="X415" s="364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51">
        <v>34</v>
      </c>
      <c r="B416" s="378" t="s">
        <v>217</v>
      </c>
      <c r="C416" s="379">
        <v>2021</v>
      </c>
      <c r="D416" s="383">
        <v>2031</v>
      </c>
      <c r="E416" s="360" t="s">
        <v>258</v>
      </c>
      <c r="F416" s="386">
        <f>139804+X416</f>
        <v>669804</v>
      </c>
      <c r="G416" s="385">
        <v>60016</v>
      </c>
      <c r="H416" s="154">
        <v>6050</v>
      </c>
      <c r="I416" s="163" t="s">
        <v>28</v>
      </c>
      <c r="J416" s="164">
        <v>55525</v>
      </c>
      <c r="K416" s="164">
        <v>165000</v>
      </c>
      <c r="L416" s="164"/>
      <c r="M416" s="164">
        <v>0</v>
      </c>
      <c r="N416" s="164">
        <v>30000</v>
      </c>
      <c r="O416" s="164"/>
      <c r="P416" s="157"/>
      <c r="Q416" s="157"/>
      <c r="R416" s="164">
        <v>0</v>
      </c>
      <c r="S416" s="164">
        <v>250000</v>
      </c>
      <c r="T416" s="164">
        <v>250000</v>
      </c>
      <c r="U416" s="157"/>
      <c r="V416" s="157"/>
      <c r="W416" s="157"/>
      <c r="X416" s="364">
        <f>SUM(L420:W420)</f>
        <v>530000</v>
      </c>
      <c r="Y416" s="141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51"/>
      <c r="B417" s="378"/>
      <c r="C417" s="379"/>
      <c r="D417" s="383"/>
      <c r="E417" s="360"/>
      <c r="F417" s="386"/>
      <c r="G417" s="385"/>
      <c r="H417" s="170"/>
      <c r="I417" s="155" t="s">
        <v>31</v>
      </c>
      <c r="J417" s="164"/>
      <c r="K417" s="156"/>
      <c r="L417" s="187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64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13.5" customHeight="1">
      <c r="A418" s="351"/>
      <c r="B418" s="378"/>
      <c r="C418" s="379"/>
      <c r="D418" s="383"/>
      <c r="E418" s="360"/>
      <c r="F418" s="386"/>
      <c r="G418" s="385"/>
      <c r="H418" s="170"/>
      <c r="I418" s="155" t="s">
        <v>30</v>
      </c>
      <c r="J418" s="164"/>
      <c r="K418" s="156"/>
      <c r="L418" s="187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364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3.5" customHeight="1">
      <c r="A419" s="351"/>
      <c r="B419" s="378"/>
      <c r="C419" s="379"/>
      <c r="D419" s="383"/>
      <c r="E419" s="360"/>
      <c r="F419" s="386"/>
      <c r="G419" s="385"/>
      <c r="H419" s="170"/>
      <c r="I419" s="155" t="s">
        <v>91</v>
      </c>
      <c r="J419" s="164">
        <v>10000</v>
      </c>
      <c r="K419" s="156">
        <v>15000</v>
      </c>
      <c r="L419" s="156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364"/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8.25" customHeight="1">
      <c r="A420" s="351"/>
      <c r="B420" s="378"/>
      <c r="C420" s="379"/>
      <c r="D420" s="383"/>
      <c r="E420" s="360"/>
      <c r="F420" s="386"/>
      <c r="G420" s="385"/>
      <c r="H420" s="170"/>
      <c r="I420" s="160" t="s">
        <v>26</v>
      </c>
      <c r="J420" s="161">
        <f>SUM(J416:J419)</f>
        <v>65525</v>
      </c>
      <c r="K420" s="162">
        <f t="shared" ref="K420:U420" si="129">SUM(K416:K419)</f>
        <v>180000</v>
      </c>
      <c r="L420" s="162">
        <f t="shared" si="129"/>
        <v>0</v>
      </c>
      <c r="M420" s="162">
        <f t="shared" si="129"/>
        <v>0</v>
      </c>
      <c r="N420" s="162">
        <f t="shared" si="129"/>
        <v>30000</v>
      </c>
      <c r="O420" s="162">
        <f t="shared" si="129"/>
        <v>0</v>
      </c>
      <c r="P420" s="162">
        <f t="shared" si="129"/>
        <v>0</v>
      </c>
      <c r="Q420" s="162">
        <f t="shared" si="129"/>
        <v>0</v>
      </c>
      <c r="R420" s="162">
        <f t="shared" si="129"/>
        <v>0</v>
      </c>
      <c r="S420" s="162">
        <f t="shared" si="129"/>
        <v>250000</v>
      </c>
      <c r="T420" s="162">
        <f t="shared" si="129"/>
        <v>250000</v>
      </c>
      <c r="U420" s="162">
        <f t="shared" si="129"/>
        <v>0</v>
      </c>
      <c r="V420" s="162"/>
      <c r="W420" s="162"/>
      <c r="X420" s="364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51"/>
      <c r="B421" s="382" t="s">
        <v>98</v>
      </c>
      <c r="C421" s="445">
        <v>2015</v>
      </c>
      <c r="D421" s="458">
        <v>2019</v>
      </c>
      <c r="E421" s="361" t="s">
        <v>27</v>
      </c>
      <c r="F421" s="459"/>
      <c r="G421" s="384">
        <v>60016</v>
      </c>
      <c r="H421" s="91">
        <v>6050</v>
      </c>
      <c r="I421" s="114" t="s">
        <v>28</v>
      </c>
      <c r="J421" s="100">
        <v>46094</v>
      </c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76">
        <f t="shared" ref="X421" si="130">SUM(L425:W425)</f>
        <v>0</v>
      </c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51"/>
      <c r="B422" s="382"/>
      <c r="C422" s="445"/>
      <c r="D422" s="458"/>
      <c r="E422" s="361"/>
      <c r="F422" s="459"/>
      <c r="G422" s="384"/>
      <c r="H422" s="91"/>
      <c r="I422" s="92" t="s">
        <v>31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76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5" hidden="1" customHeight="1">
      <c r="A423" s="351"/>
      <c r="B423" s="382"/>
      <c r="C423" s="445"/>
      <c r="D423" s="458"/>
      <c r="E423" s="361"/>
      <c r="F423" s="459"/>
      <c r="G423" s="384"/>
      <c r="H423" s="91"/>
      <c r="I423" s="92" t="s">
        <v>30</v>
      </c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376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51"/>
      <c r="B424" s="382"/>
      <c r="C424" s="445"/>
      <c r="D424" s="458"/>
      <c r="E424" s="361"/>
      <c r="F424" s="459"/>
      <c r="G424" s="384"/>
      <c r="H424" s="91"/>
      <c r="I424" s="92" t="s">
        <v>33</v>
      </c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76"/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8" hidden="1" customHeight="1">
      <c r="A425" s="351"/>
      <c r="B425" s="382"/>
      <c r="C425" s="445"/>
      <c r="D425" s="458"/>
      <c r="E425" s="361"/>
      <c r="F425" s="459"/>
      <c r="G425" s="384"/>
      <c r="H425" s="91"/>
      <c r="I425" s="101" t="s">
        <v>26</v>
      </c>
      <c r="J425" s="102">
        <f>SUM(J421:J424)</f>
        <v>46094</v>
      </c>
      <c r="K425" s="102">
        <f t="shared" ref="K425:P425" si="131">SUM(K421:K424)</f>
        <v>0</v>
      </c>
      <c r="L425" s="102">
        <f t="shared" si="131"/>
        <v>0</v>
      </c>
      <c r="M425" s="102">
        <f t="shared" si="131"/>
        <v>0</v>
      </c>
      <c r="N425" s="102">
        <f t="shared" si="131"/>
        <v>0</v>
      </c>
      <c r="O425" s="102">
        <f t="shared" si="131"/>
        <v>0</v>
      </c>
      <c r="P425" s="102">
        <f t="shared" si="131"/>
        <v>0</v>
      </c>
      <c r="Q425" s="102"/>
      <c r="R425" s="102"/>
      <c r="S425" s="102"/>
      <c r="T425" s="102"/>
      <c r="U425" s="102"/>
      <c r="V425" s="102"/>
      <c r="W425" s="102"/>
      <c r="X425" s="376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51"/>
      <c r="B426" s="382" t="s">
        <v>95</v>
      </c>
      <c r="C426" s="445">
        <v>2018</v>
      </c>
      <c r="D426" s="458">
        <v>2019</v>
      </c>
      <c r="E426" s="361" t="s">
        <v>27</v>
      </c>
      <c r="F426" s="413"/>
      <c r="G426" s="384">
        <v>60016</v>
      </c>
      <c r="H426" s="104">
        <v>6050</v>
      </c>
      <c r="I426" s="114" t="s">
        <v>28</v>
      </c>
      <c r="J426" s="100">
        <v>140692</v>
      </c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76">
        <f t="shared" ref="X426" si="132">SUM(L430:W430)</f>
        <v>0</v>
      </c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51"/>
      <c r="B427" s="382"/>
      <c r="C427" s="445"/>
      <c r="D427" s="458"/>
      <c r="E427" s="361"/>
      <c r="F427" s="413"/>
      <c r="G427" s="384"/>
      <c r="H427" s="91"/>
      <c r="I427" s="92" t="s">
        <v>31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76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5" hidden="1" customHeight="1">
      <c r="A428" s="351"/>
      <c r="B428" s="382"/>
      <c r="C428" s="445"/>
      <c r="D428" s="458"/>
      <c r="E428" s="361"/>
      <c r="F428" s="413"/>
      <c r="G428" s="384"/>
      <c r="H428" s="91"/>
      <c r="I428" s="92" t="s">
        <v>30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376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5" hidden="1" customHeight="1">
      <c r="A429" s="351"/>
      <c r="B429" s="382"/>
      <c r="C429" s="445"/>
      <c r="D429" s="458"/>
      <c r="E429" s="361"/>
      <c r="F429" s="413"/>
      <c r="G429" s="384"/>
      <c r="H429" s="91"/>
      <c r="I429" s="92" t="s">
        <v>33</v>
      </c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376"/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7.25" hidden="1" customHeight="1">
      <c r="A430" s="351"/>
      <c r="B430" s="382"/>
      <c r="C430" s="445"/>
      <c r="D430" s="458"/>
      <c r="E430" s="361"/>
      <c r="F430" s="413"/>
      <c r="G430" s="384"/>
      <c r="H430" s="91"/>
      <c r="I430" s="101" t="s">
        <v>26</v>
      </c>
      <c r="J430" s="102">
        <f>SUM(J426:J429)</f>
        <v>140692</v>
      </c>
      <c r="K430" s="102">
        <f t="shared" ref="K430:P430" si="133">SUM(K426:K429)</f>
        <v>0</v>
      </c>
      <c r="L430" s="102">
        <f t="shared" si="133"/>
        <v>0</v>
      </c>
      <c r="M430" s="102">
        <f t="shared" si="133"/>
        <v>0</v>
      </c>
      <c r="N430" s="102">
        <f t="shared" si="133"/>
        <v>0</v>
      </c>
      <c r="O430" s="102">
        <f t="shared" si="133"/>
        <v>0</v>
      </c>
      <c r="P430" s="102">
        <f t="shared" si="133"/>
        <v>0</v>
      </c>
      <c r="Q430" s="102"/>
      <c r="R430" s="102"/>
      <c r="S430" s="102"/>
      <c r="T430" s="102"/>
      <c r="U430" s="102"/>
      <c r="V430" s="102"/>
      <c r="W430" s="102"/>
      <c r="X430" s="376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51">
        <v>35</v>
      </c>
      <c r="B431" s="378" t="s">
        <v>99</v>
      </c>
      <c r="C431" s="371">
        <v>2018</v>
      </c>
      <c r="D431" s="383">
        <v>2027</v>
      </c>
      <c r="E431" s="360" t="s">
        <v>258</v>
      </c>
      <c r="F431" s="386">
        <f>753442+X431</f>
        <v>1353442</v>
      </c>
      <c r="G431" s="352">
        <v>60016</v>
      </c>
      <c r="H431" s="200">
        <v>6050</v>
      </c>
      <c r="I431" s="163" t="s">
        <v>28</v>
      </c>
      <c r="J431" s="156">
        <v>30000</v>
      </c>
      <c r="K431" s="156">
        <f>150000-150000</f>
        <v>0</v>
      </c>
      <c r="L431" s="156"/>
      <c r="M431" s="156"/>
      <c r="O431" s="156">
        <v>200000</v>
      </c>
      <c r="P431" s="156">
        <v>400000</v>
      </c>
      <c r="Q431" s="187"/>
      <c r="R431" s="156">
        <v>0</v>
      </c>
      <c r="S431" s="187"/>
      <c r="T431" s="187"/>
      <c r="U431" s="187"/>
      <c r="V431" s="187"/>
      <c r="W431" s="187"/>
      <c r="X431" s="364">
        <f>SUM(L435:W435)</f>
        <v>600000</v>
      </c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51"/>
      <c r="B432" s="378"/>
      <c r="C432" s="371"/>
      <c r="D432" s="383"/>
      <c r="E432" s="360"/>
      <c r="F432" s="386"/>
      <c r="G432" s="352"/>
      <c r="H432" s="200"/>
      <c r="I432" s="155" t="s">
        <v>31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64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4.25" customHeight="1">
      <c r="A433" s="351"/>
      <c r="B433" s="378"/>
      <c r="C433" s="371"/>
      <c r="D433" s="383"/>
      <c r="E433" s="360"/>
      <c r="F433" s="386"/>
      <c r="G433" s="352"/>
      <c r="H433" s="200"/>
      <c r="I433" s="155" t="s">
        <v>30</v>
      </c>
      <c r="J433" s="187"/>
      <c r="K433" s="187"/>
      <c r="L433" s="187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364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4.25" customHeight="1">
      <c r="A434" s="351"/>
      <c r="B434" s="378"/>
      <c r="C434" s="371"/>
      <c r="D434" s="383"/>
      <c r="E434" s="360"/>
      <c r="F434" s="386"/>
      <c r="G434" s="352"/>
      <c r="H434" s="200"/>
      <c r="I434" s="155" t="s">
        <v>33</v>
      </c>
      <c r="J434" s="187"/>
      <c r="K434" s="187"/>
      <c r="L434" s="187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364"/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23.25" customHeight="1">
      <c r="A435" s="351"/>
      <c r="B435" s="378"/>
      <c r="C435" s="371"/>
      <c r="D435" s="383"/>
      <c r="E435" s="360"/>
      <c r="F435" s="386"/>
      <c r="G435" s="352"/>
      <c r="H435" s="200"/>
      <c r="I435" s="160" t="s">
        <v>26</v>
      </c>
      <c r="J435" s="161">
        <f>SUM(J431:J434)</f>
        <v>30000</v>
      </c>
      <c r="K435" s="161">
        <f t="shared" ref="K435:O435" si="134">SUM(K431:K434)</f>
        <v>0</v>
      </c>
      <c r="L435" s="161">
        <f t="shared" si="134"/>
        <v>0</v>
      </c>
      <c r="M435" s="161">
        <f t="shared" si="134"/>
        <v>0</v>
      </c>
      <c r="N435" s="161">
        <f t="shared" si="134"/>
        <v>0</v>
      </c>
      <c r="O435" s="161">
        <f t="shared" si="134"/>
        <v>200000</v>
      </c>
      <c r="P435" s="161">
        <f>SUM(P431:P434)</f>
        <v>400000</v>
      </c>
      <c r="Q435" s="161">
        <f t="shared" ref="Q435:W435" si="135">SUM(Q431:Q434)</f>
        <v>0</v>
      </c>
      <c r="R435" s="161">
        <f t="shared" si="135"/>
        <v>0</v>
      </c>
      <c r="S435" s="161">
        <f t="shared" si="135"/>
        <v>0</v>
      </c>
      <c r="T435" s="161">
        <f t="shared" si="135"/>
        <v>0</v>
      </c>
      <c r="U435" s="161">
        <f t="shared" si="135"/>
        <v>0</v>
      </c>
      <c r="V435" s="161">
        <f t="shared" si="135"/>
        <v>0</v>
      </c>
      <c r="W435" s="161">
        <f t="shared" si="135"/>
        <v>0</v>
      </c>
      <c r="X435" s="364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hidden="1" customHeight="1">
      <c r="A436" s="351">
        <v>35</v>
      </c>
      <c r="B436" s="377" t="s">
        <v>213</v>
      </c>
      <c r="C436" s="355">
        <v>2021</v>
      </c>
      <c r="D436" s="355">
        <v>2031</v>
      </c>
      <c r="E436" s="360" t="s">
        <v>258</v>
      </c>
      <c r="F436" s="547">
        <v>0</v>
      </c>
      <c r="G436" s="354">
        <v>60016</v>
      </c>
      <c r="H436" s="90"/>
      <c r="I436" s="58" t="s">
        <v>28</v>
      </c>
      <c r="J436" s="100">
        <v>20000</v>
      </c>
      <c r="K436" s="98"/>
      <c r="L436" s="98"/>
      <c r="M436" s="62"/>
      <c r="N436" s="62"/>
      <c r="O436" s="84">
        <v>0</v>
      </c>
      <c r="P436" s="344">
        <v>0</v>
      </c>
      <c r="Q436" s="84"/>
      <c r="R436" s="84"/>
      <c r="S436" s="344">
        <v>0</v>
      </c>
      <c r="T436" s="344">
        <v>0</v>
      </c>
      <c r="U436" s="84"/>
      <c r="V436" s="84"/>
      <c r="W436" s="84"/>
      <c r="X436" s="375">
        <f>SUM(L440:W440)</f>
        <v>0</v>
      </c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hidden="1" customHeight="1">
      <c r="A437" s="351"/>
      <c r="B437" s="377"/>
      <c r="C437" s="355"/>
      <c r="D437" s="355"/>
      <c r="E437" s="360"/>
      <c r="F437" s="547"/>
      <c r="G437" s="354"/>
      <c r="H437" s="90"/>
      <c r="I437" s="61" t="s">
        <v>31</v>
      </c>
      <c r="J437" s="98"/>
      <c r="K437" s="98"/>
      <c r="L437" s="98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75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hidden="1" customHeight="1">
      <c r="A438" s="351"/>
      <c r="B438" s="377"/>
      <c r="C438" s="355"/>
      <c r="D438" s="355"/>
      <c r="E438" s="360"/>
      <c r="F438" s="547"/>
      <c r="G438" s="354"/>
      <c r="H438" s="90"/>
      <c r="I438" s="61" t="s">
        <v>30</v>
      </c>
      <c r="J438" s="98"/>
      <c r="K438" s="98"/>
      <c r="L438" s="98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375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2.75" hidden="1" customHeight="1">
      <c r="A439" s="351"/>
      <c r="B439" s="377"/>
      <c r="C439" s="355"/>
      <c r="D439" s="355"/>
      <c r="E439" s="360"/>
      <c r="F439" s="547"/>
      <c r="G439" s="354"/>
      <c r="H439" s="90">
        <v>6050</v>
      </c>
      <c r="I439" s="61" t="s">
        <v>70</v>
      </c>
      <c r="J439" s="98"/>
      <c r="K439" s="98">
        <v>14000</v>
      </c>
      <c r="L439" s="100">
        <v>0</v>
      </c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375"/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2.75" hidden="1" customHeight="1">
      <c r="A440" s="351"/>
      <c r="B440" s="377"/>
      <c r="C440" s="355"/>
      <c r="D440" s="355"/>
      <c r="E440" s="360"/>
      <c r="F440" s="547"/>
      <c r="G440" s="354"/>
      <c r="H440" s="90"/>
      <c r="I440" s="64" t="s">
        <v>26</v>
      </c>
      <c r="J440" s="102">
        <f>SUM(J436:J439)</f>
        <v>20000</v>
      </c>
      <c r="K440" s="102">
        <f t="shared" ref="K440:W440" si="136">SUM(K436:K439)</f>
        <v>14000</v>
      </c>
      <c r="L440" s="102">
        <f t="shared" si="136"/>
        <v>0</v>
      </c>
      <c r="M440" s="65">
        <f t="shared" si="136"/>
        <v>0</v>
      </c>
      <c r="N440" s="288">
        <f t="shared" si="136"/>
        <v>0</v>
      </c>
      <c r="O440" s="65">
        <f t="shared" si="136"/>
        <v>0</v>
      </c>
      <c r="P440" s="65">
        <f t="shared" si="136"/>
        <v>0</v>
      </c>
      <c r="Q440" s="65">
        <f t="shared" si="136"/>
        <v>0</v>
      </c>
      <c r="R440" s="65">
        <f t="shared" si="136"/>
        <v>0</v>
      </c>
      <c r="S440" s="65">
        <f t="shared" si="136"/>
        <v>0</v>
      </c>
      <c r="T440" s="65">
        <f t="shared" si="136"/>
        <v>0</v>
      </c>
      <c r="U440" s="65">
        <f t="shared" si="136"/>
        <v>0</v>
      </c>
      <c r="V440" s="65">
        <f t="shared" si="136"/>
        <v>0</v>
      </c>
      <c r="W440" s="65">
        <f t="shared" si="136"/>
        <v>0</v>
      </c>
      <c r="X440" s="375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hidden="1" customHeight="1">
      <c r="A441" s="351">
        <v>36</v>
      </c>
      <c r="B441" s="455" t="s">
        <v>229</v>
      </c>
      <c r="C441" s="371">
        <v>2021</v>
      </c>
      <c r="D441" s="383">
        <v>2028</v>
      </c>
      <c r="E441" s="360" t="s">
        <v>27</v>
      </c>
      <c r="F441" s="552">
        <f>X441</f>
        <v>0</v>
      </c>
      <c r="G441" s="352">
        <v>60016</v>
      </c>
      <c r="H441" s="200">
        <v>6050</v>
      </c>
      <c r="I441" s="183" t="s">
        <v>28</v>
      </c>
      <c r="J441" s="156">
        <v>20000</v>
      </c>
      <c r="K441" s="187"/>
      <c r="L441" s="156"/>
      <c r="M441" s="292"/>
      <c r="N441" s="300"/>
      <c r="O441" s="345">
        <v>0</v>
      </c>
      <c r="P441" s="344">
        <v>0</v>
      </c>
      <c r="Q441" s="344">
        <v>0</v>
      </c>
      <c r="R441" s="100"/>
      <c r="S441" s="98"/>
      <c r="T441" s="187"/>
      <c r="U441" s="187"/>
      <c r="V441" s="187"/>
      <c r="W441" s="187"/>
      <c r="X441" s="554">
        <f>SUM(L445:W445)</f>
        <v>0</v>
      </c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hidden="1" customHeight="1">
      <c r="A442" s="351"/>
      <c r="B442" s="456"/>
      <c r="C442" s="371"/>
      <c r="D442" s="383"/>
      <c r="E442" s="360"/>
      <c r="F442" s="552"/>
      <c r="G442" s="352"/>
      <c r="H442" s="200">
        <v>6050</v>
      </c>
      <c r="I442" s="166" t="s">
        <v>31</v>
      </c>
      <c r="J442" s="187"/>
      <c r="K442" s="187"/>
      <c r="L442" s="156"/>
      <c r="M442" s="100"/>
      <c r="N442" s="293"/>
      <c r="O442" s="98"/>
      <c r="P442" s="98"/>
      <c r="Q442" s="98"/>
      <c r="R442" s="98"/>
      <c r="S442" s="98"/>
      <c r="T442" s="187"/>
      <c r="U442" s="187"/>
      <c r="V442" s="187"/>
      <c r="W442" s="187"/>
      <c r="X442" s="554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" hidden="1" customHeight="1">
      <c r="A443" s="351"/>
      <c r="B443" s="456"/>
      <c r="C443" s="371"/>
      <c r="D443" s="383"/>
      <c r="E443" s="360"/>
      <c r="F443" s="552"/>
      <c r="G443" s="352"/>
      <c r="H443" s="200"/>
      <c r="I443" s="166" t="s">
        <v>30</v>
      </c>
      <c r="J443" s="187"/>
      <c r="K443" s="187"/>
      <c r="L443" s="187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554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" hidden="1" customHeight="1">
      <c r="A444" s="351"/>
      <c r="B444" s="456"/>
      <c r="C444" s="371"/>
      <c r="D444" s="383"/>
      <c r="E444" s="360"/>
      <c r="F444" s="552"/>
      <c r="G444" s="352"/>
      <c r="H444" s="200"/>
      <c r="I444" s="166" t="s">
        <v>70</v>
      </c>
      <c r="J444" s="187"/>
      <c r="K444" s="187">
        <v>14000</v>
      </c>
      <c r="L444" s="156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554"/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1.25" hidden="1" customHeight="1">
      <c r="A445" s="351"/>
      <c r="B445" s="457"/>
      <c r="C445" s="371"/>
      <c r="D445" s="383"/>
      <c r="E445" s="360"/>
      <c r="F445" s="552"/>
      <c r="G445" s="352"/>
      <c r="H445" s="200"/>
      <c r="I445" s="160" t="s">
        <v>26</v>
      </c>
      <c r="J445" s="161">
        <f>SUM(J441:J444)</f>
        <v>20000</v>
      </c>
      <c r="K445" s="161">
        <f t="shared" ref="K445:P445" si="137">SUM(K441:K444)</f>
        <v>14000</v>
      </c>
      <c r="L445" s="161">
        <f t="shared" si="137"/>
        <v>0</v>
      </c>
      <c r="M445" s="161">
        <f t="shared" si="137"/>
        <v>0</v>
      </c>
      <c r="N445" s="161">
        <f t="shared" si="137"/>
        <v>0</v>
      </c>
      <c r="O445" s="161">
        <f t="shared" si="137"/>
        <v>0</v>
      </c>
      <c r="P445" s="161">
        <f t="shared" si="137"/>
        <v>0</v>
      </c>
      <c r="Q445" s="161">
        <f>SUM(Q441:Q444)</f>
        <v>0</v>
      </c>
      <c r="R445" s="161">
        <f>SUM(R441:R444)</f>
        <v>0</v>
      </c>
      <c r="S445" s="161"/>
      <c r="T445" s="161"/>
      <c r="U445" s="161"/>
      <c r="V445" s="161"/>
      <c r="W445" s="161"/>
      <c r="X445" s="554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51">
        <v>37</v>
      </c>
      <c r="B446" s="369" t="s">
        <v>208</v>
      </c>
      <c r="C446" s="371">
        <v>2020</v>
      </c>
      <c r="D446" s="371">
        <v>2022</v>
      </c>
      <c r="E446" s="360" t="s">
        <v>27</v>
      </c>
      <c r="F446" s="386">
        <v>0</v>
      </c>
      <c r="G446" s="352">
        <v>60016</v>
      </c>
      <c r="H446" s="200">
        <v>6050</v>
      </c>
      <c r="I446" s="183" t="s">
        <v>28</v>
      </c>
      <c r="J446" s="161"/>
      <c r="K446" s="161"/>
      <c r="L446" s="156">
        <v>0</v>
      </c>
      <c r="M446" s="156"/>
      <c r="N446" s="156"/>
      <c r="O446" s="156"/>
      <c r="P446" s="187"/>
      <c r="Q446" s="187"/>
      <c r="R446" s="187"/>
      <c r="S446" s="187"/>
      <c r="T446" s="187"/>
      <c r="U446" s="187"/>
      <c r="V446" s="187"/>
      <c r="W446" s="187"/>
      <c r="X446" s="364">
        <f t="shared" ref="X446" si="138">SUM(L450:W450)</f>
        <v>0</v>
      </c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51"/>
      <c r="B447" s="370"/>
      <c r="C447" s="371"/>
      <c r="D447" s="371"/>
      <c r="E447" s="360"/>
      <c r="F447" s="386"/>
      <c r="G447" s="352"/>
      <c r="H447" s="200"/>
      <c r="I447" s="166" t="s">
        <v>31</v>
      </c>
      <c r="J447" s="161"/>
      <c r="K447" s="161"/>
      <c r="L447" s="187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64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51"/>
      <c r="B448" s="370"/>
      <c r="C448" s="371"/>
      <c r="D448" s="371"/>
      <c r="E448" s="360"/>
      <c r="F448" s="386"/>
      <c r="G448" s="352"/>
      <c r="H448" s="200"/>
      <c r="I448" s="166" t="s">
        <v>30</v>
      </c>
      <c r="J448" s="161"/>
      <c r="K448" s="161"/>
      <c r="L448" s="187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364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0.5" hidden="1" customHeight="1">
      <c r="A449" s="351"/>
      <c r="B449" s="370"/>
      <c r="C449" s="371"/>
      <c r="D449" s="371"/>
      <c r="E449" s="360"/>
      <c r="F449" s="386"/>
      <c r="G449" s="352"/>
      <c r="H449" s="200"/>
      <c r="I449" s="166" t="s">
        <v>70</v>
      </c>
      <c r="J449" s="161"/>
      <c r="K449" s="161"/>
      <c r="L449" s="156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364"/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51"/>
      <c r="B450" s="370"/>
      <c r="C450" s="371"/>
      <c r="D450" s="371"/>
      <c r="E450" s="360"/>
      <c r="F450" s="386"/>
      <c r="G450" s="352"/>
      <c r="H450" s="200"/>
      <c r="I450" s="160" t="s">
        <v>26</v>
      </c>
      <c r="J450" s="161"/>
      <c r="K450" s="161"/>
      <c r="L450" s="161">
        <f t="shared" ref="L450:P450" si="139">SUM(L446:L449)</f>
        <v>0</v>
      </c>
      <c r="M450" s="161">
        <f t="shared" si="139"/>
        <v>0</v>
      </c>
      <c r="N450" s="161">
        <f t="shared" si="139"/>
        <v>0</v>
      </c>
      <c r="O450" s="161">
        <f t="shared" si="139"/>
        <v>0</v>
      </c>
      <c r="P450" s="161">
        <f t="shared" si="139"/>
        <v>0</v>
      </c>
      <c r="Q450" s="161"/>
      <c r="R450" s="161"/>
      <c r="S450" s="161"/>
      <c r="T450" s="161"/>
      <c r="U450" s="161"/>
      <c r="V450" s="161"/>
      <c r="W450" s="161"/>
      <c r="X450" s="364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51">
        <v>38</v>
      </c>
      <c r="B451" s="369" t="s">
        <v>134</v>
      </c>
      <c r="C451" s="371">
        <v>2020</v>
      </c>
      <c r="D451" s="371">
        <v>2022</v>
      </c>
      <c r="E451" s="360" t="s">
        <v>27</v>
      </c>
      <c r="F451" s="386">
        <f>X451</f>
        <v>0</v>
      </c>
      <c r="G451" s="352">
        <v>60016</v>
      </c>
      <c r="H451" s="200"/>
      <c r="I451" s="183" t="s">
        <v>28</v>
      </c>
      <c r="J451" s="161"/>
      <c r="K451" s="161"/>
      <c r="L451" s="156"/>
      <c r="M451" s="156"/>
      <c r="N451" s="156"/>
      <c r="O451" s="156"/>
      <c r="P451" s="187"/>
      <c r="Q451" s="187"/>
      <c r="R451" s="187"/>
      <c r="S451" s="187"/>
      <c r="T451" s="187"/>
      <c r="U451" s="187"/>
      <c r="V451" s="187"/>
      <c r="W451" s="187"/>
      <c r="X451" s="364">
        <f t="shared" ref="X451" si="140">SUM(L455:W455)</f>
        <v>0</v>
      </c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51"/>
      <c r="B452" s="370"/>
      <c r="C452" s="371"/>
      <c r="D452" s="371"/>
      <c r="E452" s="360"/>
      <c r="F452" s="386"/>
      <c r="G452" s="352"/>
      <c r="H452" s="200"/>
      <c r="I452" s="166" t="s">
        <v>31</v>
      </c>
      <c r="J452" s="161"/>
      <c r="K452" s="161"/>
      <c r="L452" s="187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64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5.75" hidden="1" customHeight="1">
      <c r="A453" s="351"/>
      <c r="B453" s="370"/>
      <c r="C453" s="371"/>
      <c r="D453" s="371"/>
      <c r="E453" s="360"/>
      <c r="F453" s="386"/>
      <c r="G453" s="352"/>
      <c r="H453" s="200"/>
      <c r="I453" s="166" t="s">
        <v>30</v>
      </c>
      <c r="J453" s="161"/>
      <c r="K453" s="161"/>
      <c r="L453" s="187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364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51"/>
      <c r="B454" s="370"/>
      <c r="C454" s="371"/>
      <c r="D454" s="371"/>
      <c r="E454" s="360"/>
      <c r="F454" s="386"/>
      <c r="G454" s="352"/>
      <c r="H454" s="200">
        <v>6050</v>
      </c>
      <c r="I454" s="166" t="s">
        <v>70</v>
      </c>
      <c r="J454" s="161"/>
      <c r="K454" s="161"/>
      <c r="L454" s="156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364"/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51"/>
      <c r="B455" s="370"/>
      <c r="C455" s="371"/>
      <c r="D455" s="371"/>
      <c r="E455" s="360"/>
      <c r="F455" s="386"/>
      <c r="G455" s="352"/>
      <c r="H455" s="200"/>
      <c r="I455" s="160" t="s">
        <v>26</v>
      </c>
      <c r="J455" s="161"/>
      <c r="K455" s="161"/>
      <c r="L455" s="161">
        <f t="shared" ref="L455:P455" si="141">SUM(L451:L454)</f>
        <v>0</v>
      </c>
      <c r="M455" s="161">
        <f t="shared" si="141"/>
        <v>0</v>
      </c>
      <c r="N455" s="161">
        <f t="shared" si="141"/>
        <v>0</v>
      </c>
      <c r="O455" s="161">
        <f t="shared" si="141"/>
        <v>0</v>
      </c>
      <c r="P455" s="161">
        <f t="shared" si="141"/>
        <v>0</v>
      </c>
      <c r="Q455" s="161"/>
      <c r="R455" s="161"/>
      <c r="S455" s="161"/>
      <c r="T455" s="161"/>
      <c r="U455" s="161"/>
      <c r="V455" s="161"/>
      <c r="W455" s="161"/>
      <c r="X455" s="364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51">
        <v>39</v>
      </c>
      <c r="B456" s="369" t="s">
        <v>135</v>
      </c>
      <c r="C456" s="371">
        <v>2020</v>
      </c>
      <c r="D456" s="371">
        <v>2022</v>
      </c>
      <c r="E456" s="360" t="s">
        <v>27</v>
      </c>
      <c r="F456" s="386">
        <f>X456</f>
        <v>0</v>
      </c>
      <c r="G456" s="352">
        <v>60016</v>
      </c>
      <c r="H456" s="200">
        <v>6050</v>
      </c>
      <c r="I456" s="183" t="s">
        <v>28</v>
      </c>
      <c r="J456" s="161"/>
      <c r="K456" s="161"/>
      <c r="L456" s="156"/>
      <c r="M456" s="156"/>
      <c r="N456" s="156"/>
      <c r="O456" s="156"/>
      <c r="P456" s="187"/>
      <c r="Q456" s="187"/>
      <c r="R456" s="187"/>
      <c r="S456" s="187"/>
      <c r="T456" s="187"/>
      <c r="U456" s="187"/>
      <c r="V456" s="187"/>
      <c r="W456" s="187"/>
      <c r="X456" s="364">
        <f t="shared" ref="X456" si="142">SUM(L460:W460)</f>
        <v>0</v>
      </c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51"/>
      <c r="B457" s="370"/>
      <c r="C457" s="371"/>
      <c r="D457" s="371"/>
      <c r="E457" s="360"/>
      <c r="F457" s="386"/>
      <c r="G457" s="352"/>
      <c r="H457" s="200"/>
      <c r="I457" s="166" t="s">
        <v>31</v>
      </c>
      <c r="J457" s="161"/>
      <c r="K457" s="161"/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64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51"/>
      <c r="B458" s="370"/>
      <c r="C458" s="371"/>
      <c r="D458" s="371"/>
      <c r="E458" s="360"/>
      <c r="F458" s="386"/>
      <c r="G458" s="352"/>
      <c r="H458" s="200"/>
      <c r="I458" s="166" t="s">
        <v>30</v>
      </c>
      <c r="J458" s="161"/>
      <c r="K458" s="161"/>
      <c r="L458" s="187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364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51"/>
      <c r="B459" s="370"/>
      <c r="C459" s="371"/>
      <c r="D459" s="371"/>
      <c r="E459" s="360"/>
      <c r="F459" s="386"/>
      <c r="G459" s="352"/>
      <c r="H459" s="200">
        <v>6050</v>
      </c>
      <c r="I459" s="166" t="s">
        <v>70</v>
      </c>
      <c r="J459" s="161"/>
      <c r="K459" s="161"/>
      <c r="L459" s="156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364"/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6.5" hidden="1" customHeight="1">
      <c r="A460" s="351"/>
      <c r="B460" s="370"/>
      <c r="C460" s="371"/>
      <c r="D460" s="371"/>
      <c r="E460" s="360"/>
      <c r="F460" s="386"/>
      <c r="G460" s="352"/>
      <c r="H460" s="200"/>
      <c r="I460" s="160" t="s">
        <v>26</v>
      </c>
      <c r="J460" s="161"/>
      <c r="K460" s="161"/>
      <c r="L460" s="161">
        <f t="shared" ref="L460:P460" si="143">SUM(L456:L459)</f>
        <v>0</v>
      </c>
      <c r="M460" s="161">
        <f t="shared" si="143"/>
        <v>0</v>
      </c>
      <c r="N460" s="161">
        <f t="shared" si="143"/>
        <v>0</v>
      </c>
      <c r="O460" s="161">
        <f t="shared" si="143"/>
        <v>0</v>
      </c>
      <c r="P460" s="161">
        <f t="shared" si="143"/>
        <v>0</v>
      </c>
      <c r="Q460" s="161"/>
      <c r="R460" s="161"/>
      <c r="S460" s="161"/>
      <c r="T460" s="161"/>
      <c r="U460" s="161"/>
      <c r="V460" s="161"/>
      <c r="W460" s="161"/>
      <c r="X460" s="364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.75" hidden="1" customHeight="1">
      <c r="A461" s="351">
        <v>40</v>
      </c>
      <c r="B461" s="369" t="s">
        <v>165</v>
      </c>
      <c r="C461" s="355">
        <v>2019</v>
      </c>
      <c r="D461" s="355">
        <v>2022</v>
      </c>
      <c r="E461" s="480" t="s">
        <v>27</v>
      </c>
      <c r="F461" s="389">
        <f>L465</f>
        <v>0</v>
      </c>
      <c r="G461" s="354">
        <v>60016</v>
      </c>
      <c r="H461" s="90"/>
      <c r="I461" s="58" t="s">
        <v>28</v>
      </c>
      <c r="J461" s="62"/>
      <c r="K461" s="62"/>
      <c r="L461" s="84"/>
      <c r="M461" s="84"/>
      <c r="N461" s="84"/>
      <c r="O461" s="84"/>
      <c r="P461" s="62"/>
      <c r="Q461" s="62"/>
      <c r="R461" s="62"/>
      <c r="S461" s="62"/>
      <c r="T461" s="62"/>
      <c r="U461" s="62"/>
      <c r="V461" s="62"/>
      <c r="W461" s="62"/>
      <c r="X461" s="375">
        <f t="shared" ref="X461" si="144">SUM(L465:W465)</f>
        <v>0</v>
      </c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51"/>
      <c r="B462" s="370"/>
      <c r="C462" s="355"/>
      <c r="D462" s="355"/>
      <c r="E462" s="480"/>
      <c r="F462" s="389"/>
      <c r="G462" s="354"/>
      <c r="H462" s="90"/>
      <c r="I462" s="61" t="s">
        <v>31</v>
      </c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75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1.25" hidden="1" customHeight="1">
      <c r="A463" s="351"/>
      <c r="B463" s="370"/>
      <c r="C463" s="355"/>
      <c r="D463" s="355"/>
      <c r="E463" s="480"/>
      <c r="F463" s="389"/>
      <c r="G463" s="354"/>
      <c r="H463" s="90"/>
      <c r="I463" s="61" t="s">
        <v>30</v>
      </c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375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2" hidden="1" customHeight="1">
      <c r="A464" s="351"/>
      <c r="B464" s="370"/>
      <c r="C464" s="355"/>
      <c r="D464" s="355"/>
      <c r="E464" s="480"/>
      <c r="F464" s="389"/>
      <c r="G464" s="354"/>
      <c r="H464" s="90">
        <v>6050</v>
      </c>
      <c r="I464" s="61" t="s">
        <v>70</v>
      </c>
      <c r="J464" s="62"/>
      <c r="K464" s="62"/>
      <c r="L464" s="84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375"/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.75" hidden="1" customHeight="1">
      <c r="A465" s="351"/>
      <c r="B465" s="370"/>
      <c r="C465" s="355"/>
      <c r="D465" s="355"/>
      <c r="E465" s="480"/>
      <c r="F465" s="389"/>
      <c r="G465" s="354"/>
      <c r="H465" s="90"/>
      <c r="I465" s="64" t="s">
        <v>26</v>
      </c>
      <c r="J465" s="62"/>
      <c r="K465" s="62"/>
      <c r="L465" s="65">
        <f t="shared" ref="L465:P465" si="145">SUM(L461:L464)</f>
        <v>0</v>
      </c>
      <c r="M465" s="65">
        <f t="shared" si="145"/>
        <v>0</v>
      </c>
      <c r="N465" s="65">
        <f t="shared" si="145"/>
        <v>0</v>
      </c>
      <c r="O465" s="65">
        <f t="shared" si="145"/>
        <v>0</v>
      </c>
      <c r="P465" s="65">
        <f t="shared" si="145"/>
        <v>0</v>
      </c>
      <c r="Q465" s="65"/>
      <c r="R465" s="65"/>
      <c r="S465" s="65"/>
      <c r="T465" s="65"/>
      <c r="U465" s="65"/>
      <c r="V465" s="65"/>
      <c r="W465" s="65"/>
      <c r="X465" s="375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51">
        <v>41</v>
      </c>
      <c r="B466" s="369" t="s">
        <v>148</v>
      </c>
      <c r="C466" s="355">
        <v>2019</v>
      </c>
      <c r="D466" s="355">
        <v>2022</v>
      </c>
      <c r="E466" s="480" t="s">
        <v>27</v>
      </c>
      <c r="F466" s="389">
        <f>X466</f>
        <v>0</v>
      </c>
      <c r="G466" s="354">
        <v>60016</v>
      </c>
      <c r="H466" s="90"/>
      <c r="I466" s="58" t="s">
        <v>28</v>
      </c>
      <c r="J466" s="65"/>
      <c r="K466" s="65"/>
      <c r="L466" s="84"/>
      <c r="M466" s="84"/>
      <c r="N466" s="84"/>
      <c r="O466" s="84"/>
      <c r="P466" s="62"/>
      <c r="Q466" s="62"/>
      <c r="R466" s="62"/>
      <c r="S466" s="62"/>
      <c r="T466" s="62"/>
      <c r="U466" s="62"/>
      <c r="V466" s="62"/>
      <c r="W466" s="62"/>
      <c r="X466" s="375">
        <f t="shared" ref="X466" si="146">SUM(L470:W470)</f>
        <v>0</v>
      </c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5" hidden="1" customHeight="1">
      <c r="A467" s="351"/>
      <c r="B467" s="370"/>
      <c r="C467" s="355"/>
      <c r="D467" s="355"/>
      <c r="E467" s="480"/>
      <c r="F467" s="389"/>
      <c r="G467" s="354"/>
      <c r="H467" s="90"/>
      <c r="I467" s="61" t="s">
        <v>31</v>
      </c>
      <c r="J467" s="65"/>
      <c r="K467" s="65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75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5" hidden="1" customHeight="1">
      <c r="A468" s="351"/>
      <c r="B468" s="370"/>
      <c r="C468" s="355"/>
      <c r="D468" s="355"/>
      <c r="E468" s="480"/>
      <c r="F468" s="389"/>
      <c r="G468" s="354"/>
      <c r="H468" s="90"/>
      <c r="I468" s="61" t="s">
        <v>30</v>
      </c>
      <c r="J468" s="65"/>
      <c r="K468" s="65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375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3.5" hidden="1" customHeight="1">
      <c r="A469" s="351"/>
      <c r="B469" s="370"/>
      <c r="C469" s="355"/>
      <c r="D469" s="355"/>
      <c r="E469" s="480"/>
      <c r="F469" s="389"/>
      <c r="G469" s="354"/>
      <c r="H469" s="90">
        <v>6050</v>
      </c>
      <c r="I469" s="61" t="s">
        <v>70</v>
      </c>
      <c r="J469" s="65"/>
      <c r="K469" s="65"/>
      <c r="L469" s="84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375"/>
      <c r="Y469" s="40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6"/>
      <c r="CS469" s="96"/>
      <c r="CT469" s="96"/>
      <c r="CU469" s="96"/>
      <c r="CV469" s="96"/>
      <c r="CW469" s="96"/>
      <c r="CX469" s="96"/>
      <c r="CY469" s="96"/>
      <c r="CZ469" s="96"/>
      <c r="DA469" s="96"/>
      <c r="DB469" s="96"/>
      <c r="DC469" s="96"/>
      <c r="DD469" s="96"/>
      <c r="DE469" s="96"/>
      <c r="DF469" s="96"/>
      <c r="DG469" s="96"/>
      <c r="DH469" s="96"/>
      <c r="DI469" s="96"/>
      <c r="DJ469" s="96"/>
      <c r="DK469" s="96"/>
      <c r="DL469" s="96"/>
      <c r="DM469" s="96"/>
      <c r="DN469" s="96"/>
      <c r="DO469" s="96"/>
      <c r="DP469" s="96"/>
      <c r="DQ469" s="96"/>
      <c r="DR469" s="96"/>
      <c r="DS469" s="96"/>
      <c r="DT469" s="96"/>
      <c r="DU469" s="96"/>
      <c r="DV469" s="96"/>
      <c r="DW469" s="96"/>
      <c r="DX469" s="96"/>
      <c r="DY469" s="96"/>
      <c r="DZ469" s="96"/>
      <c r="EA469" s="96"/>
      <c r="EB469" s="96"/>
      <c r="EC469" s="96"/>
      <c r="ED469" s="96"/>
      <c r="EE469" s="96"/>
      <c r="EF469" s="96"/>
      <c r="EG469" s="96"/>
      <c r="EH469" s="96"/>
      <c r="EI469" s="96"/>
      <c r="EJ469" s="96"/>
      <c r="EK469" s="96"/>
      <c r="EL469" s="96"/>
      <c r="EM469" s="96"/>
      <c r="EN469" s="96"/>
      <c r="EO469" s="96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6"/>
      <c r="FL469" s="96"/>
      <c r="FM469" s="96"/>
      <c r="FN469" s="96"/>
      <c r="FO469" s="96"/>
      <c r="FP469" s="96"/>
      <c r="FQ469" s="96"/>
      <c r="FR469" s="96"/>
      <c r="FS469" s="96"/>
      <c r="FT469" s="96"/>
      <c r="FU469" s="96"/>
      <c r="FV469" s="96"/>
      <c r="FW469" s="96"/>
      <c r="FX469" s="96"/>
      <c r="FY469" s="96"/>
      <c r="FZ469" s="96"/>
      <c r="GA469" s="96"/>
      <c r="GB469" s="96"/>
      <c r="GC469" s="96"/>
      <c r="GD469" s="96"/>
      <c r="GE469" s="96"/>
      <c r="GF469" s="96"/>
      <c r="GG469" s="96"/>
      <c r="GH469" s="96"/>
      <c r="GI469" s="96"/>
      <c r="GJ469" s="96"/>
      <c r="GK469" s="96"/>
      <c r="GL469" s="96"/>
      <c r="GM469" s="96"/>
      <c r="GN469" s="96"/>
      <c r="GO469" s="96"/>
      <c r="GP469" s="96"/>
    </row>
    <row r="470" spans="1:198" ht="18" hidden="1" customHeight="1">
      <c r="A470" s="351"/>
      <c r="B470" s="370"/>
      <c r="C470" s="355"/>
      <c r="D470" s="355"/>
      <c r="E470" s="480"/>
      <c r="F470" s="389"/>
      <c r="G470" s="354"/>
      <c r="H470" s="90"/>
      <c r="I470" s="64" t="s">
        <v>26</v>
      </c>
      <c r="J470" s="65"/>
      <c r="K470" s="65"/>
      <c r="L470" s="65">
        <f t="shared" ref="L470:P470" si="147">SUM(L466:L469)</f>
        <v>0</v>
      </c>
      <c r="M470" s="65">
        <f t="shared" si="147"/>
        <v>0</v>
      </c>
      <c r="N470" s="65">
        <f t="shared" si="147"/>
        <v>0</v>
      </c>
      <c r="O470" s="65">
        <f t="shared" si="147"/>
        <v>0</v>
      </c>
      <c r="P470" s="65">
        <f t="shared" si="147"/>
        <v>0</v>
      </c>
      <c r="Q470" s="65"/>
      <c r="R470" s="65"/>
      <c r="S470" s="65"/>
      <c r="T470" s="65"/>
      <c r="U470" s="65"/>
      <c r="V470" s="65"/>
      <c r="W470" s="65"/>
      <c r="X470" s="375"/>
      <c r="Y470" s="40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6"/>
      <c r="CS470" s="96"/>
      <c r="CT470" s="96"/>
      <c r="CU470" s="96"/>
      <c r="CV470" s="96"/>
      <c r="CW470" s="96"/>
      <c r="CX470" s="96"/>
      <c r="CY470" s="96"/>
      <c r="CZ470" s="96"/>
      <c r="DA470" s="96"/>
      <c r="DB470" s="96"/>
      <c r="DC470" s="96"/>
      <c r="DD470" s="96"/>
      <c r="DE470" s="96"/>
      <c r="DF470" s="96"/>
      <c r="DG470" s="96"/>
      <c r="DH470" s="96"/>
      <c r="DI470" s="96"/>
      <c r="DJ470" s="96"/>
      <c r="DK470" s="96"/>
      <c r="DL470" s="96"/>
      <c r="DM470" s="96"/>
      <c r="DN470" s="96"/>
      <c r="DO470" s="96"/>
      <c r="DP470" s="96"/>
      <c r="DQ470" s="96"/>
      <c r="DR470" s="96"/>
      <c r="DS470" s="96"/>
      <c r="DT470" s="96"/>
      <c r="DU470" s="96"/>
      <c r="DV470" s="96"/>
      <c r="DW470" s="96"/>
      <c r="DX470" s="96"/>
      <c r="DY470" s="96"/>
      <c r="DZ470" s="96"/>
      <c r="EA470" s="96"/>
      <c r="EB470" s="96"/>
      <c r="EC470" s="96"/>
      <c r="ED470" s="96"/>
      <c r="EE470" s="96"/>
      <c r="EF470" s="96"/>
      <c r="EG470" s="96"/>
      <c r="EH470" s="96"/>
      <c r="EI470" s="96"/>
      <c r="EJ470" s="96"/>
      <c r="EK470" s="96"/>
      <c r="EL470" s="96"/>
      <c r="EM470" s="96"/>
      <c r="EN470" s="96"/>
      <c r="EO470" s="96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6"/>
      <c r="FL470" s="96"/>
      <c r="FM470" s="96"/>
      <c r="FN470" s="96"/>
      <c r="FO470" s="96"/>
      <c r="FP470" s="96"/>
      <c r="FQ470" s="96"/>
      <c r="FR470" s="96"/>
      <c r="FS470" s="96"/>
      <c r="FT470" s="96"/>
      <c r="FU470" s="96"/>
      <c r="FV470" s="96"/>
      <c r="FW470" s="96"/>
      <c r="FX470" s="96"/>
      <c r="FY470" s="96"/>
      <c r="FZ470" s="96"/>
      <c r="GA470" s="96"/>
      <c r="GB470" s="96"/>
      <c r="GC470" s="96"/>
      <c r="GD470" s="96"/>
      <c r="GE470" s="96"/>
      <c r="GF470" s="96"/>
      <c r="GG470" s="96"/>
      <c r="GH470" s="96"/>
      <c r="GI470" s="96"/>
      <c r="GJ470" s="96"/>
      <c r="GK470" s="96"/>
      <c r="GL470" s="96"/>
      <c r="GM470" s="96"/>
      <c r="GN470" s="96"/>
      <c r="GO470" s="96"/>
      <c r="GP470" s="96"/>
    </row>
    <row r="471" spans="1:198" ht="17.25" hidden="1" customHeight="1">
      <c r="A471" s="351">
        <v>43</v>
      </c>
      <c r="B471" s="369" t="s">
        <v>109</v>
      </c>
      <c r="C471" s="445">
        <v>2017</v>
      </c>
      <c r="D471" s="445">
        <v>2025</v>
      </c>
      <c r="E471" s="361" t="s">
        <v>27</v>
      </c>
      <c r="F471" s="413">
        <f>X471</f>
        <v>0</v>
      </c>
      <c r="G471" s="384">
        <v>60016</v>
      </c>
      <c r="H471" s="91">
        <v>6050</v>
      </c>
      <c r="I471" s="105" t="s">
        <v>28</v>
      </c>
      <c r="J471" s="102"/>
      <c r="K471" s="102"/>
      <c r="L471" s="100"/>
      <c r="M471" s="100"/>
      <c r="N471" s="100"/>
      <c r="O471" s="100"/>
      <c r="P471" s="100"/>
      <c r="Q471" s="98"/>
      <c r="R471" s="98"/>
      <c r="S471" s="98"/>
      <c r="T471" s="98"/>
      <c r="U471" s="98"/>
      <c r="V471" s="98"/>
      <c r="W471" s="98"/>
      <c r="X471" s="376">
        <f t="shared" ref="X471" si="148">SUM(L475:W475)</f>
        <v>0</v>
      </c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51"/>
      <c r="B472" s="370"/>
      <c r="C472" s="445"/>
      <c r="D472" s="445"/>
      <c r="E472" s="361"/>
      <c r="F472" s="413"/>
      <c r="G472" s="384"/>
      <c r="H472" s="91"/>
      <c r="I472" s="97" t="s">
        <v>31</v>
      </c>
      <c r="J472" s="102"/>
      <c r="K472" s="102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76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51"/>
      <c r="B473" s="370"/>
      <c r="C473" s="445"/>
      <c r="D473" s="445"/>
      <c r="E473" s="361"/>
      <c r="F473" s="413"/>
      <c r="G473" s="384"/>
      <c r="H473" s="91"/>
      <c r="I473" s="97" t="s">
        <v>30</v>
      </c>
      <c r="J473" s="102"/>
      <c r="K473" s="102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376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51"/>
      <c r="B474" s="370"/>
      <c r="C474" s="445"/>
      <c r="D474" s="445"/>
      <c r="E474" s="361"/>
      <c r="F474" s="413"/>
      <c r="G474" s="384"/>
      <c r="H474" s="91">
        <v>6050</v>
      </c>
      <c r="I474" s="97" t="s">
        <v>120</v>
      </c>
      <c r="J474" s="102"/>
      <c r="K474" s="102"/>
      <c r="L474" s="100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376"/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51"/>
      <c r="B475" s="370"/>
      <c r="C475" s="445"/>
      <c r="D475" s="445"/>
      <c r="E475" s="361"/>
      <c r="F475" s="413"/>
      <c r="G475" s="384"/>
      <c r="H475" s="91"/>
      <c r="I475" s="101" t="s">
        <v>26</v>
      </c>
      <c r="J475" s="102"/>
      <c r="K475" s="102"/>
      <c r="L475" s="102">
        <f t="shared" ref="L475:P475" si="149">SUM(L471:L474)</f>
        <v>0</v>
      </c>
      <c r="M475" s="102">
        <f t="shared" si="149"/>
        <v>0</v>
      </c>
      <c r="N475" s="102">
        <f t="shared" si="149"/>
        <v>0</v>
      </c>
      <c r="O475" s="102">
        <f t="shared" si="149"/>
        <v>0</v>
      </c>
      <c r="P475" s="102">
        <f t="shared" si="149"/>
        <v>0</v>
      </c>
      <c r="Q475" s="102"/>
      <c r="R475" s="102"/>
      <c r="S475" s="102"/>
      <c r="T475" s="102"/>
      <c r="U475" s="102"/>
      <c r="V475" s="102"/>
      <c r="W475" s="102"/>
      <c r="X475" s="376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2">
        <v>42</v>
      </c>
      <c r="B476" s="369" t="s">
        <v>172</v>
      </c>
      <c r="C476" s="452">
        <v>2021</v>
      </c>
      <c r="D476" s="446">
        <v>2022</v>
      </c>
      <c r="E476" s="360" t="s">
        <v>27</v>
      </c>
      <c r="F476" s="386">
        <f>X476</f>
        <v>0</v>
      </c>
      <c r="G476" s="352">
        <v>60016</v>
      </c>
      <c r="H476" s="200">
        <v>6050</v>
      </c>
      <c r="I476" s="183" t="s">
        <v>28</v>
      </c>
      <c r="J476" s="161"/>
      <c r="K476" s="161"/>
      <c r="L476" s="156"/>
      <c r="M476" s="156"/>
      <c r="N476" s="156"/>
      <c r="O476" s="156"/>
      <c r="P476" s="156"/>
      <c r="Q476" s="187"/>
      <c r="R476" s="187"/>
      <c r="S476" s="187"/>
      <c r="T476" s="187"/>
      <c r="U476" s="187"/>
      <c r="V476" s="187"/>
      <c r="W476" s="187"/>
      <c r="X476" s="364">
        <f t="shared" ref="X476" si="150">SUM(L480:W480)</f>
        <v>0</v>
      </c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3"/>
      <c r="B477" s="370"/>
      <c r="C477" s="453"/>
      <c r="D477" s="447"/>
      <c r="E477" s="360"/>
      <c r="F477" s="386"/>
      <c r="G477" s="352"/>
      <c r="H477" s="200">
        <v>6370</v>
      </c>
      <c r="I477" s="166" t="s">
        <v>176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64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5.75" hidden="1" customHeight="1">
      <c r="A478" s="373"/>
      <c r="B478" s="370"/>
      <c r="C478" s="453"/>
      <c r="D478" s="447"/>
      <c r="E478" s="360"/>
      <c r="F478" s="386"/>
      <c r="G478" s="352"/>
      <c r="H478" s="200"/>
      <c r="I478" s="166" t="s">
        <v>30</v>
      </c>
      <c r="J478" s="161"/>
      <c r="K478" s="161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364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5.75" hidden="1" customHeight="1">
      <c r="A479" s="373"/>
      <c r="B479" s="370"/>
      <c r="C479" s="453"/>
      <c r="D479" s="447"/>
      <c r="E479" s="360"/>
      <c r="F479" s="386"/>
      <c r="G479" s="352"/>
      <c r="H479" s="200"/>
      <c r="I479" s="166" t="s">
        <v>120</v>
      </c>
      <c r="J479" s="161"/>
      <c r="K479" s="161"/>
      <c r="L479" s="156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364"/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6.75" hidden="1" customHeight="1">
      <c r="A480" s="374"/>
      <c r="B480" s="553"/>
      <c r="C480" s="454"/>
      <c r="D480" s="448"/>
      <c r="E480" s="577"/>
      <c r="F480" s="386"/>
      <c r="G480" s="352"/>
      <c r="H480" s="200"/>
      <c r="I480" s="160" t="s">
        <v>26</v>
      </c>
      <c r="J480" s="161"/>
      <c r="K480" s="161"/>
      <c r="L480" s="161">
        <f t="shared" ref="L480:P480" si="151">SUM(L476:L479)</f>
        <v>0</v>
      </c>
      <c r="M480" s="161">
        <f t="shared" si="151"/>
        <v>0</v>
      </c>
      <c r="N480" s="161">
        <f t="shared" si="151"/>
        <v>0</v>
      </c>
      <c r="O480" s="161">
        <f t="shared" si="151"/>
        <v>0</v>
      </c>
      <c r="P480" s="161">
        <f t="shared" si="151"/>
        <v>0</v>
      </c>
      <c r="Q480" s="161"/>
      <c r="R480" s="161"/>
      <c r="S480" s="161"/>
      <c r="T480" s="161"/>
      <c r="U480" s="161"/>
      <c r="V480" s="161"/>
      <c r="W480" s="161"/>
      <c r="X480" s="364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51">
        <v>26</v>
      </c>
      <c r="B481" s="369" t="s">
        <v>110</v>
      </c>
      <c r="C481" s="371">
        <v>2020</v>
      </c>
      <c r="D481" s="371">
        <v>2023</v>
      </c>
      <c r="E481" s="576" t="s">
        <v>27</v>
      </c>
      <c r="F481" s="386">
        <f>X481</f>
        <v>0</v>
      </c>
      <c r="G481" s="573">
        <v>60016</v>
      </c>
      <c r="H481" s="200">
        <v>6050</v>
      </c>
      <c r="I481" s="183" t="s">
        <v>28</v>
      </c>
      <c r="J481" s="161">
        <v>20000</v>
      </c>
      <c r="K481" s="161"/>
      <c r="L481" s="156"/>
      <c r="M481" s="156"/>
      <c r="N481" s="156"/>
      <c r="O481" s="156"/>
      <c r="P481" s="187"/>
      <c r="Q481" s="187"/>
      <c r="R481" s="187"/>
      <c r="S481" s="187"/>
      <c r="T481" s="187"/>
      <c r="U481" s="187"/>
      <c r="V481" s="187"/>
      <c r="W481" s="187"/>
      <c r="X481" s="364">
        <f>SUM(L485:W485)</f>
        <v>0</v>
      </c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4.25" hidden="1" customHeight="1">
      <c r="A482" s="351"/>
      <c r="B482" s="370"/>
      <c r="C482" s="371"/>
      <c r="D482" s="371"/>
      <c r="E482" s="360"/>
      <c r="F482" s="386"/>
      <c r="G482" s="574"/>
      <c r="H482" s="200"/>
      <c r="I482" s="166" t="s">
        <v>31</v>
      </c>
      <c r="J482" s="187"/>
      <c r="K482" s="187"/>
      <c r="L482" s="187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64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4.25" hidden="1" customHeight="1">
      <c r="A483" s="351"/>
      <c r="B483" s="370"/>
      <c r="C483" s="371"/>
      <c r="D483" s="371"/>
      <c r="E483" s="360"/>
      <c r="F483" s="386"/>
      <c r="G483" s="574"/>
      <c r="H483" s="200"/>
      <c r="I483" s="166" t="s">
        <v>30</v>
      </c>
      <c r="J483" s="187"/>
      <c r="K483" s="187"/>
      <c r="L483" s="187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364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5.75" hidden="1" customHeight="1">
      <c r="A484" s="351"/>
      <c r="B484" s="370"/>
      <c r="C484" s="371"/>
      <c r="D484" s="371"/>
      <c r="E484" s="360"/>
      <c r="F484" s="386"/>
      <c r="G484" s="574"/>
      <c r="H484" s="223"/>
      <c r="I484" s="166" t="s">
        <v>121</v>
      </c>
      <c r="J484" s="222"/>
      <c r="K484" s="222"/>
      <c r="L484" s="156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364"/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.75" hidden="1" customHeight="1">
      <c r="A485" s="351"/>
      <c r="B485" s="553"/>
      <c r="C485" s="371"/>
      <c r="D485" s="371"/>
      <c r="E485" s="360"/>
      <c r="F485" s="386"/>
      <c r="G485" s="575"/>
      <c r="H485" s="200"/>
      <c r="I485" s="160" t="s">
        <v>26</v>
      </c>
      <c r="J485" s="161"/>
      <c r="K485" s="161"/>
      <c r="L485" s="161">
        <f t="shared" ref="L485:P485" si="152">SUM(L481:L484)</f>
        <v>0</v>
      </c>
      <c r="M485" s="161">
        <f t="shared" si="152"/>
        <v>0</v>
      </c>
      <c r="N485" s="161">
        <f t="shared" si="152"/>
        <v>0</v>
      </c>
      <c r="O485" s="161">
        <f t="shared" si="152"/>
        <v>0</v>
      </c>
      <c r="P485" s="161">
        <f t="shared" si="152"/>
        <v>0</v>
      </c>
      <c r="Q485" s="161"/>
      <c r="R485" s="161"/>
      <c r="S485" s="161"/>
      <c r="T485" s="161"/>
      <c r="U485" s="161"/>
      <c r="V485" s="161"/>
      <c r="W485" s="161"/>
      <c r="X485" s="364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4.25" customHeight="1">
      <c r="A486" s="372">
        <v>36</v>
      </c>
      <c r="B486" s="561" t="s">
        <v>144</v>
      </c>
      <c r="C486" s="452">
        <v>2022</v>
      </c>
      <c r="D486" s="446">
        <v>2025</v>
      </c>
      <c r="E486" s="360" t="s">
        <v>258</v>
      </c>
      <c r="F486" s="386">
        <f>X486+85239+2135000-699460</f>
        <v>11402777</v>
      </c>
      <c r="G486" s="352">
        <v>60016</v>
      </c>
      <c r="H486" s="200">
        <v>6050</v>
      </c>
      <c r="I486" s="183" t="s">
        <v>28</v>
      </c>
      <c r="J486" s="161"/>
      <c r="K486" s="161"/>
      <c r="L486" s="156"/>
      <c r="M486" s="156"/>
      <c r="N486" s="324">
        <v>2281998</v>
      </c>
      <c r="O486" s="156"/>
      <c r="P486" s="156"/>
      <c r="Q486" s="156"/>
      <c r="R486" s="187"/>
      <c r="S486" s="187"/>
      <c r="T486" s="187"/>
      <c r="U486" s="187"/>
      <c r="V486" s="187"/>
      <c r="W486" s="187"/>
      <c r="X486" s="364">
        <f>SUM(L490:W490)</f>
        <v>9881998</v>
      </c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4.25" customHeight="1">
      <c r="A487" s="373"/>
      <c r="B487" s="561"/>
      <c r="C487" s="453"/>
      <c r="D487" s="447"/>
      <c r="E487" s="360"/>
      <c r="F487" s="386"/>
      <c r="G487" s="352"/>
      <c r="H487" s="200">
        <v>6370</v>
      </c>
      <c r="I487" s="155" t="s">
        <v>177</v>
      </c>
      <c r="J487" s="161"/>
      <c r="K487" s="161"/>
      <c r="L487" s="187"/>
      <c r="M487" s="156">
        <v>0</v>
      </c>
      <c r="N487" s="156">
        <v>7600000</v>
      </c>
      <c r="O487" s="187"/>
      <c r="P487" s="187"/>
      <c r="Q487" s="187"/>
      <c r="R487" s="187"/>
      <c r="S487" s="187"/>
      <c r="T487" s="187"/>
      <c r="U487" s="187"/>
      <c r="V487" s="187"/>
      <c r="W487" s="187"/>
      <c r="X487" s="364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3"/>
      <c r="B488" s="561"/>
      <c r="C488" s="453"/>
      <c r="D488" s="447"/>
      <c r="E488" s="360"/>
      <c r="F488" s="386"/>
      <c r="G488" s="352"/>
      <c r="H488" s="200"/>
      <c r="I488" s="166" t="s">
        <v>30</v>
      </c>
      <c r="J488" s="161"/>
      <c r="K488" s="161"/>
      <c r="L488" s="187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364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3"/>
      <c r="B489" s="561"/>
      <c r="C489" s="453"/>
      <c r="D489" s="447"/>
      <c r="E489" s="360"/>
      <c r="F489" s="386"/>
      <c r="G489" s="352"/>
      <c r="H489" s="200"/>
      <c r="I489" s="166" t="s">
        <v>120</v>
      </c>
      <c r="J489" s="161"/>
      <c r="K489" s="161"/>
      <c r="L489" s="15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364"/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23.25" customHeight="1">
      <c r="A490" s="374"/>
      <c r="B490" s="562"/>
      <c r="C490" s="454"/>
      <c r="D490" s="448"/>
      <c r="E490" s="360"/>
      <c r="F490" s="386"/>
      <c r="G490" s="352"/>
      <c r="H490" s="200"/>
      <c r="I490" s="160" t="s">
        <v>26</v>
      </c>
      <c r="J490" s="161"/>
      <c r="K490" s="161"/>
      <c r="L490" s="161">
        <f t="shared" ref="L490:Q490" si="153">SUM(L486:L489)</f>
        <v>0</v>
      </c>
      <c r="M490" s="161">
        <f t="shared" si="153"/>
        <v>0</v>
      </c>
      <c r="N490" s="161">
        <f t="shared" si="153"/>
        <v>9881998</v>
      </c>
      <c r="O490" s="161">
        <f t="shared" si="153"/>
        <v>0</v>
      </c>
      <c r="P490" s="161">
        <f t="shared" si="153"/>
        <v>0</v>
      </c>
      <c r="Q490" s="161">
        <f t="shared" si="153"/>
        <v>0</v>
      </c>
      <c r="R490" s="161"/>
      <c r="S490" s="161"/>
      <c r="T490" s="161"/>
      <c r="U490" s="161"/>
      <c r="V490" s="161"/>
      <c r="W490" s="161"/>
      <c r="X490" s="364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72">
        <v>37</v>
      </c>
      <c r="B491" s="362" t="s">
        <v>219</v>
      </c>
      <c r="C491" s="452">
        <v>2024</v>
      </c>
      <c r="D491" s="446">
        <v>2028</v>
      </c>
      <c r="E491" s="360" t="s">
        <v>258</v>
      </c>
      <c r="F491" s="386">
        <f>X491</f>
        <v>500000</v>
      </c>
      <c r="G491" s="352">
        <v>60016</v>
      </c>
      <c r="H491" s="200">
        <v>6050</v>
      </c>
      <c r="I491" s="183" t="s">
        <v>28</v>
      </c>
      <c r="J491" s="161"/>
      <c r="K491" s="161"/>
      <c r="L491" s="156"/>
      <c r="M491" s="156">
        <v>0</v>
      </c>
      <c r="N491" s="156"/>
      <c r="O491" s="156"/>
      <c r="P491" s="156">
        <v>200000</v>
      </c>
      <c r="Q491" s="156">
        <v>300000</v>
      </c>
      <c r="R491" s="187"/>
      <c r="S491" s="187"/>
      <c r="T491" s="187"/>
      <c r="U491" s="187"/>
      <c r="V491" s="187"/>
      <c r="W491" s="187"/>
      <c r="X491" s="364">
        <f>SUM(L495:W495)</f>
        <v>500000</v>
      </c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73"/>
      <c r="B492" s="362"/>
      <c r="C492" s="453"/>
      <c r="D492" s="447"/>
      <c r="E492" s="360"/>
      <c r="F492" s="386"/>
      <c r="G492" s="352"/>
      <c r="H492" s="200"/>
      <c r="I492" s="166" t="s">
        <v>31</v>
      </c>
      <c r="J492" s="161"/>
      <c r="K492" s="161"/>
      <c r="L492" s="187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64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73"/>
      <c r="B493" s="362"/>
      <c r="C493" s="453"/>
      <c r="D493" s="447"/>
      <c r="E493" s="360"/>
      <c r="F493" s="386"/>
      <c r="G493" s="352"/>
      <c r="H493" s="200"/>
      <c r="I493" s="166" t="s">
        <v>30</v>
      </c>
      <c r="J493" s="161"/>
      <c r="K493" s="161"/>
      <c r="L493" s="187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364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2" customHeight="1">
      <c r="A494" s="373"/>
      <c r="B494" s="362"/>
      <c r="C494" s="453"/>
      <c r="D494" s="447"/>
      <c r="E494" s="360"/>
      <c r="F494" s="386"/>
      <c r="G494" s="352"/>
      <c r="H494" s="200"/>
      <c r="I494" s="166" t="s">
        <v>120</v>
      </c>
      <c r="J494" s="161"/>
      <c r="K494" s="161"/>
      <c r="L494" s="15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364"/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25.5" customHeight="1">
      <c r="A495" s="374"/>
      <c r="B495" s="363"/>
      <c r="C495" s="454"/>
      <c r="D495" s="448"/>
      <c r="E495" s="360"/>
      <c r="F495" s="386"/>
      <c r="G495" s="352"/>
      <c r="H495" s="200"/>
      <c r="I495" s="160" t="s">
        <v>26</v>
      </c>
      <c r="J495" s="161"/>
      <c r="K495" s="161"/>
      <c r="L495" s="161">
        <f t="shared" ref="L495:W495" si="154">SUM(L491:L494)</f>
        <v>0</v>
      </c>
      <c r="M495" s="161">
        <f t="shared" si="154"/>
        <v>0</v>
      </c>
      <c r="N495" s="161">
        <f t="shared" si="154"/>
        <v>0</v>
      </c>
      <c r="O495" s="161">
        <f t="shared" si="154"/>
        <v>0</v>
      </c>
      <c r="P495" s="161">
        <f t="shared" si="154"/>
        <v>200000</v>
      </c>
      <c r="Q495" s="161">
        <f t="shared" si="154"/>
        <v>300000</v>
      </c>
      <c r="R495" s="161">
        <f t="shared" si="154"/>
        <v>0</v>
      </c>
      <c r="S495" s="161">
        <f t="shared" si="154"/>
        <v>0</v>
      </c>
      <c r="T495" s="161">
        <f t="shared" si="154"/>
        <v>0</v>
      </c>
      <c r="U495" s="161">
        <f t="shared" si="154"/>
        <v>0</v>
      </c>
      <c r="V495" s="161">
        <f t="shared" si="154"/>
        <v>0</v>
      </c>
      <c r="W495" s="161">
        <f t="shared" si="154"/>
        <v>0</v>
      </c>
      <c r="X495" s="364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customHeight="1">
      <c r="A496" s="372">
        <v>38</v>
      </c>
      <c r="B496" s="362" t="s">
        <v>257</v>
      </c>
      <c r="C496" s="452">
        <v>2025</v>
      </c>
      <c r="D496" s="446">
        <v>2026</v>
      </c>
      <c r="E496" s="360" t="s">
        <v>258</v>
      </c>
      <c r="F496" s="386">
        <f>X496</f>
        <v>107450</v>
      </c>
      <c r="G496" s="352">
        <v>60016</v>
      </c>
      <c r="H496" s="200">
        <v>6050</v>
      </c>
      <c r="I496" s="183" t="s">
        <v>28</v>
      </c>
      <c r="J496" s="161"/>
      <c r="K496" s="161"/>
      <c r="L496" s="156"/>
      <c r="M496" s="164"/>
      <c r="N496" s="156">
        <v>18450</v>
      </c>
      <c r="O496" s="156">
        <v>89000</v>
      </c>
      <c r="P496" s="275"/>
      <c r="Q496" s="275"/>
      <c r="R496" s="187"/>
      <c r="S496" s="187"/>
      <c r="T496" s="187"/>
      <c r="U496" s="187"/>
      <c r="V496" s="187"/>
      <c r="W496" s="187"/>
      <c r="X496" s="364">
        <f>SUM(L500:W500)</f>
        <v>107450</v>
      </c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customHeight="1">
      <c r="A497" s="373"/>
      <c r="B497" s="362"/>
      <c r="C497" s="453"/>
      <c r="D497" s="447"/>
      <c r="E497" s="360"/>
      <c r="F497" s="386"/>
      <c r="G497" s="352"/>
      <c r="H497" s="200"/>
      <c r="I497" s="166" t="s">
        <v>31</v>
      </c>
      <c r="J497" s="161"/>
      <c r="K497" s="161"/>
      <c r="L497" s="187"/>
      <c r="M497" s="277"/>
      <c r="N497" s="277"/>
      <c r="O497" s="187"/>
      <c r="P497" s="276"/>
      <c r="Q497" s="276"/>
      <c r="R497" s="187"/>
      <c r="S497" s="187"/>
      <c r="T497" s="187"/>
      <c r="U497" s="187"/>
      <c r="V497" s="187"/>
      <c r="W497" s="187"/>
      <c r="X497" s="364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customHeight="1">
      <c r="A498" s="373"/>
      <c r="B498" s="362"/>
      <c r="C498" s="453"/>
      <c r="D498" s="447"/>
      <c r="E498" s="360"/>
      <c r="F498" s="386"/>
      <c r="G498" s="352"/>
      <c r="H498" s="200"/>
      <c r="I498" s="166" t="s">
        <v>30</v>
      </c>
      <c r="J498" s="161"/>
      <c r="K498" s="161"/>
      <c r="L498" s="187"/>
      <c r="M498" s="241"/>
      <c r="N498" s="241"/>
      <c r="O498" s="187"/>
      <c r="P498" s="187"/>
      <c r="Q498" s="187"/>
      <c r="R498" s="187"/>
      <c r="S498" s="187"/>
      <c r="T498" s="187"/>
      <c r="U498" s="187"/>
      <c r="V498" s="187"/>
      <c r="W498" s="187"/>
      <c r="X498" s="364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2" customHeight="1">
      <c r="A499" s="373"/>
      <c r="B499" s="362"/>
      <c r="C499" s="453"/>
      <c r="D499" s="447"/>
      <c r="E499" s="360"/>
      <c r="F499" s="386"/>
      <c r="G499" s="352"/>
      <c r="H499" s="200"/>
      <c r="I499" s="166" t="s">
        <v>120</v>
      </c>
      <c r="J499" s="161"/>
      <c r="K499" s="161"/>
      <c r="L499" s="15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364"/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22.5" customHeight="1">
      <c r="A500" s="374"/>
      <c r="B500" s="363"/>
      <c r="C500" s="454"/>
      <c r="D500" s="448"/>
      <c r="E500" s="360"/>
      <c r="F500" s="386"/>
      <c r="G500" s="352"/>
      <c r="H500" s="200"/>
      <c r="I500" s="160" t="s">
        <v>26</v>
      </c>
      <c r="J500" s="161"/>
      <c r="K500" s="161"/>
      <c r="L500" s="161">
        <f t="shared" ref="L500:W500" si="155">SUM(L496:L499)</f>
        <v>0</v>
      </c>
      <c r="M500" s="161">
        <f t="shared" si="155"/>
        <v>0</v>
      </c>
      <c r="N500" s="161">
        <f t="shared" si="155"/>
        <v>18450</v>
      </c>
      <c r="O500" s="346">
        <f t="shared" si="155"/>
        <v>89000</v>
      </c>
      <c r="P500" s="161">
        <f t="shared" si="155"/>
        <v>0</v>
      </c>
      <c r="Q500" s="161">
        <f t="shared" si="155"/>
        <v>0</v>
      </c>
      <c r="R500" s="161">
        <f t="shared" si="155"/>
        <v>0</v>
      </c>
      <c r="S500" s="161">
        <f t="shared" si="155"/>
        <v>0</v>
      </c>
      <c r="T500" s="161">
        <f t="shared" si="155"/>
        <v>0</v>
      </c>
      <c r="U500" s="161">
        <f t="shared" si="155"/>
        <v>0</v>
      </c>
      <c r="V500" s="161">
        <f t="shared" si="155"/>
        <v>0</v>
      </c>
      <c r="W500" s="161">
        <f t="shared" si="155"/>
        <v>0</v>
      </c>
      <c r="X500" s="364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customHeight="1">
      <c r="A501" s="372">
        <v>39</v>
      </c>
      <c r="B501" s="362" t="s">
        <v>259</v>
      </c>
      <c r="C501" s="452">
        <v>2025</v>
      </c>
      <c r="D501" s="446">
        <v>2026</v>
      </c>
      <c r="E501" s="360" t="s">
        <v>258</v>
      </c>
      <c r="F501" s="386">
        <f>X501</f>
        <v>54200</v>
      </c>
      <c r="G501" s="352">
        <v>60016</v>
      </c>
      <c r="H501" s="200">
        <v>6050</v>
      </c>
      <c r="I501" s="183" t="s">
        <v>28</v>
      </c>
      <c r="J501" s="161"/>
      <c r="K501" s="161"/>
      <c r="L501" s="156"/>
      <c r="M501" s="156">
        <v>0</v>
      </c>
      <c r="N501" s="156">
        <v>5200</v>
      </c>
      <c r="O501" s="156">
        <v>49000</v>
      </c>
      <c r="P501" s="157"/>
      <c r="Q501" s="157"/>
      <c r="R501" s="187"/>
      <c r="S501" s="187"/>
      <c r="T501" s="187"/>
      <c r="U501" s="187"/>
      <c r="V501" s="187"/>
      <c r="W501" s="187"/>
      <c r="X501" s="364">
        <f t="shared" ref="X501" si="156">SUM(L505:W505)</f>
        <v>54200</v>
      </c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customHeight="1">
      <c r="A502" s="373"/>
      <c r="B502" s="362"/>
      <c r="C502" s="453"/>
      <c r="D502" s="447"/>
      <c r="E502" s="360"/>
      <c r="F502" s="386"/>
      <c r="G502" s="352"/>
      <c r="H502" s="200"/>
      <c r="I502" s="166" t="s">
        <v>31</v>
      </c>
      <c r="J502" s="161"/>
      <c r="K502" s="161"/>
      <c r="L502" s="187"/>
      <c r="M502" s="187"/>
      <c r="N502" s="277"/>
      <c r="O502" s="187"/>
      <c r="P502" s="187"/>
      <c r="Q502" s="187"/>
      <c r="R502" s="187"/>
      <c r="S502" s="187"/>
      <c r="T502" s="187"/>
      <c r="U502" s="187"/>
      <c r="V502" s="187"/>
      <c r="W502" s="187"/>
      <c r="X502" s="364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customHeight="1">
      <c r="A503" s="373"/>
      <c r="B503" s="362"/>
      <c r="C503" s="453"/>
      <c r="D503" s="447"/>
      <c r="E503" s="360"/>
      <c r="F503" s="386"/>
      <c r="G503" s="352"/>
      <c r="H503" s="200"/>
      <c r="I503" s="166" t="s">
        <v>30</v>
      </c>
      <c r="J503" s="161"/>
      <c r="K503" s="161"/>
      <c r="L503" s="187"/>
      <c r="M503" s="187"/>
      <c r="N503" s="241"/>
      <c r="O503" s="187"/>
      <c r="P503" s="187"/>
      <c r="Q503" s="187"/>
      <c r="R503" s="187"/>
      <c r="S503" s="187"/>
      <c r="T503" s="187"/>
      <c r="U503" s="187"/>
      <c r="V503" s="187"/>
      <c r="W503" s="187"/>
      <c r="X503" s="364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3.5" customHeight="1">
      <c r="A504" s="373"/>
      <c r="B504" s="362"/>
      <c r="C504" s="453"/>
      <c r="D504" s="447"/>
      <c r="E504" s="360"/>
      <c r="F504" s="386"/>
      <c r="G504" s="352"/>
      <c r="H504" s="200"/>
      <c r="I504" s="166" t="s">
        <v>120</v>
      </c>
      <c r="J504" s="161"/>
      <c r="K504" s="161"/>
      <c r="L504" s="15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364"/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21.75" customHeight="1">
      <c r="A505" s="374"/>
      <c r="B505" s="363"/>
      <c r="C505" s="454"/>
      <c r="D505" s="448"/>
      <c r="E505" s="360"/>
      <c r="F505" s="386"/>
      <c r="G505" s="352"/>
      <c r="H505" s="200"/>
      <c r="I505" s="160" t="s">
        <v>26</v>
      </c>
      <c r="J505" s="161"/>
      <c r="K505" s="161"/>
      <c r="L505" s="161">
        <f t="shared" ref="L505:O505" si="157">SUM(L501:L504)</f>
        <v>0</v>
      </c>
      <c r="M505" s="161">
        <f t="shared" si="157"/>
        <v>0</v>
      </c>
      <c r="N505" s="161">
        <f t="shared" si="157"/>
        <v>5200</v>
      </c>
      <c r="O505" s="346">
        <f t="shared" si="157"/>
        <v>49000</v>
      </c>
      <c r="P505" s="161">
        <f>SUM(P501:P504)</f>
        <v>0</v>
      </c>
      <c r="Q505" s="161"/>
      <c r="R505" s="161"/>
      <c r="S505" s="161"/>
      <c r="T505" s="161"/>
      <c r="U505" s="161"/>
      <c r="V505" s="161"/>
      <c r="W505" s="161"/>
      <c r="X505" s="364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2">
        <v>29</v>
      </c>
      <c r="B506" s="362"/>
      <c r="C506" s="452">
        <v>2021</v>
      </c>
      <c r="D506" s="446">
        <v>2023</v>
      </c>
      <c r="E506" s="360" t="s">
        <v>27</v>
      </c>
      <c r="F506" s="386">
        <v>0</v>
      </c>
      <c r="G506" s="352">
        <v>60016</v>
      </c>
      <c r="H506" s="200"/>
      <c r="I506" s="183" t="s">
        <v>28</v>
      </c>
      <c r="J506" s="161"/>
      <c r="K506" s="161"/>
      <c r="L506" s="156"/>
      <c r="M506" s="209">
        <v>0</v>
      </c>
      <c r="N506" s="156"/>
      <c r="O506" s="156"/>
      <c r="P506" s="156"/>
      <c r="Q506" s="187"/>
      <c r="R506" s="187"/>
      <c r="S506" s="187"/>
      <c r="T506" s="187"/>
      <c r="U506" s="187"/>
      <c r="V506" s="187"/>
      <c r="W506" s="187"/>
      <c r="X506" s="364">
        <f t="shared" ref="X506" si="158">SUM(L510:W510)</f>
        <v>0</v>
      </c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4.25" hidden="1" customHeight="1">
      <c r="A507" s="373"/>
      <c r="B507" s="362"/>
      <c r="C507" s="453"/>
      <c r="D507" s="447"/>
      <c r="E507" s="360"/>
      <c r="F507" s="386"/>
      <c r="G507" s="352"/>
      <c r="H507" s="200"/>
      <c r="I507" s="166" t="s">
        <v>31</v>
      </c>
      <c r="J507" s="161"/>
      <c r="K507" s="161"/>
      <c r="L507" s="187"/>
      <c r="M507" s="98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64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4.25" hidden="1" customHeight="1">
      <c r="A508" s="373"/>
      <c r="B508" s="362"/>
      <c r="C508" s="453"/>
      <c r="D508" s="447"/>
      <c r="E508" s="360"/>
      <c r="F508" s="386"/>
      <c r="G508" s="352"/>
      <c r="H508" s="200"/>
      <c r="I508" s="166" t="s">
        <v>30</v>
      </c>
      <c r="J508" s="161"/>
      <c r="K508" s="161"/>
      <c r="L508" s="187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364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hidden="1" customHeight="1">
      <c r="A509" s="373"/>
      <c r="B509" s="362"/>
      <c r="C509" s="453"/>
      <c r="D509" s="447"/>
      <c r="E509" s="360"/>
      <c r="F509" s="386"/>
      <c r="G509" s="352"/>
      <c r="H509" s="90">
        <v>6050</v>
      </c>
      <c r="I509" s="166" t="s">
        <v>55</v>
      </c>
      <c r="J509" s="161"/>
      <c r="K509" s="161"/>
      <c r="L509" s="156"/>
      <c r="M509" s="187">
        <v>0</v>
      </c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364"/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hidden="1" customHeight="1">
      <c r="A510" s="374"/>
      <c r="B510" s="363"/>
      <c r="C510" s="454"/>
      <c r="D510" s="448"/>
      <c r="E510" s="360"/>
      <c r="F510" s="386"/>
      <c r="G510" s="352"/>
      <c r="H510" s="200"/>
      <c r="I510" s="160" t="s">
        <v>26</v>
      </c>
      <c r="J510" s="161"/>
      <c r="K510" s="161"/>
      <c r="L510" s="161">
        <f t="shared" ref="L510:P510" si="159">SUM(L506:L509)</f>
        <v>0</v>
      </c>
      <c r="M510" s="161">
        <f t="shared" si="159"/>
        <v>0</v>
      </c>
      <c r="N510" s="161">
        <f t="shared" si="159"/>
        <v>0</v>
      </c>
      <c r="O510" s="161">
        <f t="shared" si="159"/>
        <v>0</v>
      </c>
      <c r="P510" s="161">
        <f t="shared" si="159"/>
        <v>0</v>
      </c>
      <c r="Q510" s="161"/>
      <c r="R510" s="161"/>
      <c r="S510" s="161"/>
      <c r="T510" s="161"/>
      <c r="U510" s="161"/>
      <c r="V510" s="161"/>
      <c r="W510" s="161"/>
      <c r="X510" s="364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hidden="1" customHeight="1">
      <c r="A511" s="356">
        <v>41</v>
      </c>
      <c r="B511" s="406" t="s">
        <v>189</v>
      </c>
      <c r="C511" s="355">
        <v>2024</v>
      </c>
      <c r="D511" s="355">
        <v>2032</v>
      </c>
      <c r="E511" s="360" t="s">
        <v>258</v>
      </c>
      <c r="F511" s="389">
        <f>X511+5000-5000</f>
        <v>0</v>
      </c>
      <c r="G511" s="354">
        <v>60016</v>
      </c>
      <c r="H511" s="90">
        <v>6050</v>
      </c>
      <c r="I511" s="58" t="s">
        <v>28</v>
      </c>
      <c r="J511" s="84">
        <v>20000</v>
      </c>
      <c r="K511" s="62"/>
      <c r="L511" s="84"/>
      <c r="M511" s="84"/>
      <c r="N511" s="84">
        <v>0</v>
      </c>
      <c r="O511" s="62"/>
      <c r="P511" s="62"/>
      <c r="Q511" s="84"/>
      <c r="R511" s="84"/>
      <c r="S511" s="84">
        <v>0</v>
      </c>
      <c r="T511" s="84">
        <v>0</v>
      </c>
      <c r="U511" s="84">
        <v>0</v>
      </c>
      <c r="V511" s="62"/>
      <c r="W511" s="62"/>
      <c r="X511" s="375">
        <f>SUM(L515:W515)</f>
        <v>0</v>
      </c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hidden="1" customHeight="1">
      <c r="A512" s="357"/>
      <c r="B512" s="407"/>
      <c r="C512" s="355"/>
      <c r="D512" s="355"/>
      <c r="E512" s="360"/>
      <c r="F512" s="389"/>
      <c r="G512" s="354"/>
      <c r="H512" s="90"/>
      <c r="I512" s="61" t="s">
        <v>31</v>
      </c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75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hidden="1" customHeight="1">
      <c r="A513" s="357"/>
      <c r="B513" s="407"/>
      <c r="C513" s="355"/>
      <c r="D513" s="355"/>
      <c r="E513" s="360"/>
      <c r="F513" s="389"/>
      <c r="G513" s="354"/>
      <c r="H513" s="90"/>
      <c r="I513" s="61" t="s">
        <v>30</v>
      </c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375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2.75" hidden="1" customHeight="1">
      <c r="A514" s="357"/>
      <c r="B514" s="407"/>
      <c r="C514" s="355"/>
      <c r="D514" s="355"/>
      <c r="E514" s="360"/>
      <c r="F514" s="389"/>
      <c r="G514" s="354"/>
      <c r="H514" s="90"/>
      <c r="I514" s="61" t="s">
        <v>70</v>
      </c>
      <c r="J514" s="62"/>
      <c r="K514" s="62">
        <v>14000</v>
      </c>
      <c r="L514" s="84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75"/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2.75" hidden="1" customHeight="1">
      <c r="A515" s="358"/>
      <c r="B515" s="408"/>
      <c r="C515" s="355"/>
      <c r="D515" s="355"/>
      <c r="E515" s="360"/>
      <c r="F515" s="389"/>
      <c r="G515" s="354"/>
      <c r="H515" s="90"/>
      <c r="I515" s="64" t="s">
        <v>26</v>
      </c>
      <c r="J515" s="65">
        <f>SUM(J511:J514)</f>
        <v>20000</v>
      </c>
      <c r="K515" s="65">
        <f t="shared" ref="K515:W515" si="160">SUM(K511:K514)</f>
        <v>14000</v>
      </c>
      <c r="L515" s="65">
        <f t="shared" si="160"/>
        <v>0</v>
      </c>
      <c r="M515" s="65">
        <f t="shared" si="160"/>
        <v>0</v>
      </c>
      <c r="N515" s="65">
        <f t="shared" si="160"/>
        <v>0</v>
      </c>
      <c r="O515" s="65">
        <f t="shared" si="160"/>
        <v>0</v>
      </c>
      <c r="P515" s="65">
        <f t="shared" si="160"/>
        <v>0</v>
      </c>
      <c r="Q515" s="65">
        <f t="shared" si="160"/>
        <v>0</v>
      </c>
      <c r="R515" s="65">
        <f t="shared" si="160"/>
        <v>0</v>
      </c>
      <c r="S515" s="65">
        <f t="shared" si="160"/>
        <v>0</v>
      </c>
      <c r="T515" s="65">
        <f t="shared" si="160"/>
        <v>0</v>
      </c>
      <c r="U515" s="65">
        <f t="shared" si="160"/>
        <v>0</v>
      </c>
      <c r="V515" s="65">
        <f t="shared" si="160"/>
        <v>0</v>
      </c>
      <c r="W515" s="65">
        <f t="shared" si="160"/>
        <v>0</v>
      </c>
      <c r="X515" s="375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356">
        <v>40</v>
      </c>
      <c r="B516" s="409" t="s">
        <v>166</v>
      </c>
      <c r="C516" s="355">
        <v>2021</v>
      </c>
      <c r="D516" s="355">
        <v>2032</v>
      </c>
      <c r="E516" s="360" t="s">
        <v>258</v>
      </c>
      <c r="F516" s="389">
        <f>71955+X516</f>
        <v>1421955</v>
      </c>
      <c r="G516" s="354">
        <v>60016</v>
      </c>
      <c r="H516" s="90">
        <v>6050</v>
      </c>
      <c r="I516" s="58" t="s">
        <v>28</v>
      </c>
      <c r="J516" s="84">
        <v>20000</v>
      </c>
      <c r="K516" s="62"/>
      <c r="L516" s="84"/>
      <c r="M516" s="84"/>
      <c r="N516" s="62"/>
      <c r="O516" s="62"/>
      <c r="P516" s="62"/>
      <c r="Q516" s="84"/>
      <c r="R516" s="84"/>
      <c r="S516" s="84">
        <v>350000</v>
      </c>
      <c r="T516" s="84">
        <v>500000</v>
      </c>
      <c r="U516" s="84">
        <v>500000</v>
      </c>
      <c r="V516" s="84"/>
      <c r="W516" s="84"/>
      <c r="X516" s="375">
        <f>SUM(L520:W520)</f>
        <v>1350000</v>
      </c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357"/>
      <c r="B517" s="410"/>
      <c r="C517" s="355"/>
      <c r="D517" s="355"/>
      <c r="E517" s="360"/>
      <c r="F517" s="389"/>
      <c r="G517" s="354"/>
      <c r="H517" s="90"/>
      <c r="I517" s="61" t="s">
        <v>31</v>
      </c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75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3.5" customHeight="1">
      <c r="A518" s="357"/>
      <c r="B518" s="410"/>
      <c r="C518" s="355"/>
      <c r="D518" s="355"/>
      <c r="E518" s="360"/>
      <c r="F518" s="389"/>
      <c r="G518" s="354"/>
      <c r="H518" s="90"/>
      <c r="I518" s="61" t="s">
        <v>30</v>
      </c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375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3.5" customHeight="1">
      <c r="A519" s="357"/>
      <c r="B519" s="410"/>
      <c r="C519" s="355"/>
      <c r="D519" s="355"/>
      <c r="E519" s="360"/>
      <c r="F519" s="389"/>
      <c r="G519" s="354"/>
      <c r="H519" s="90"/>
      <c r="I519" s="61" t="s">
        <v>70</v>
      </c>
      <c r="J519" s="62"/>
      <c r="K519" s="62">
        <v>14000</v>
      </c>
      <c r="L519" s="84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75"/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9" customHeight="1">
      <c r="A520" s="358"/>
      <c r="B520" s="411"/>
      <c r="C520" s="355"/>
      <c r="D520" s="355"/>
      <c r="E520" s="360"/>
      <c r="F520" s="389"/>
      <c r="G520" s="354"/>
      <c r="H520" s="90"/>
      <c r="I520" s="64" t="s">
        <v>26</v>
      </c>
      <c r="J520" s="65">
        <f>SUM(J516:J519)</f>
        <v>20000</v>
      </c>
      <c r="K520" s="65">
        <f t="shared" ref="K520:W520" si="161">SUM(K516:K519)</f>
        <v>14000</v>
      </c>
      <c r="L520" s="65">
        <f t="shared" si="161"/>
        <v>0</v>
      </c>
      <c r="M520" s="65">
        <f t="shared" si="161"/>
        <v>0</v>
      </c>
      <c r="N520" s="65">
        <f t="shared" si="161"/>
        <v>0</v>
      </c>
      <c r="O520" s="65">
        <f t="shared" si="161"/>
        <v>0</v>
      </c>
      <c r="P520" s="65">
        <f t="shared" si="161"/>
        <v>0</v>
      </c>
      <c r="Q520" s="65">
        <f t="shared" si="161"/>
        <v>0</v>
      </c>
      <c r="R520" s="65">
        <f t="shared" si="161"/>
        <v>0</v>
      </c>
      <c r="S520" s="65">
        <f t="shared" si="161"/>
        <v>350000</v>
      </c>
      <c r="T520" s="65">
        <f t="shared" si="161"/>
        <v>500000</v>
      </c>
      <c r="U520" s="65">
        <f t="shared" si="161"/>
        <v>500000</v>
      </c>
      <c r="V520" s="65">
        <f t="shared" si="161"/>
        <v>0</v>
      </c>
      <c r="W520" s="65">
        <f t="shared" si="161"/>
        <v>0</v>
      </c>
      <c r="X520" s="375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9.75" hidden="1" customHeight="1">
      <c r="A521" s="402">
        <v>31</v>
      </c>
      <c r="B521" s="380" t="s">
        <v>155</v>
      </c>
      <c r="C521" s="355">
        <v>2019</v>
      </c>
      <c r="D521" s="355">
        <v>2023</v>
      </c>
      <c r="E521" s="360" t="s">
        <v>258</v>
      </c>
      <c r="F521" s="389">
        <f>X521</f>
        <v>0</v>
      </c>
      <c r="G521" s="354">
        <v>60016</v>
      </c>
      <c r="H521" s="90">
        <v>6050</v>
      </c>
      <c r="I521" s="58" t="s">
        <v>28</v>
      </c>
      <c r="J521" s="84">
        <v>20000</v>
      </c>
      <c r="K521" s="62"/>
      <c r="L521" s="84"/>
      <c r="M521" s="84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75">
        <f>SUM(L525:W525)</f>
        <v>0</v>
      </c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03"/>
      <c r="B522" s="380"/>
      <c r="C522" s="355"/>
      <c r="D522" s="355"/>
      <c r="E522" s="360"/>
      <c r="F522" s="389"/>
      <c r="G522" s="354"/>
      <c r="H522" s="90"/>
      <c r="I522" s="61" t="s">
        <v>31</v>
      </c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75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03"/>
      <c r="B523" s="380"/>
      <c r="C523" s="355"/>
      <c r="D523" s="355"/>
      <c r="E523" s="360"/>
      <c r="F523" s="389"/>
      <c r="G523" s="354"/>
      <c r="H523" s="90"/>
      <c r="I523" s="61" t="s">
        <v>30</v>
      </c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375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03"/>
      <c r="B524" s="380"/>
      <c r="C524" s="355"/>
      <c r="D524" s="355"/>
      <c r="E524" s="360"/>
      <c r="F524" s="389"/>
      <c r="G524" s="354"/>
      <c r="H524" s="90"/>
      <c r="I524" s="61" t="s">
        <v>70</v>
      </c>
      <c r="J524" s="62"/>
      <c r="K524" s="62">
        <v>14000</v>
      </c>
      <c r="L524" s="84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375"/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04"/>
      <c r="B525" s="380"/>
      <c r="C525" s="355"/>
      <c r="D525" s="355"/>
      <c r="E525" s="360"/>
      <c r="F525" s="389"/>
      <c r="G525" s="354"/>
      <c r="H525" s="90"/>
      <c r="I525" s="64" t="s">
        <v>26</v>
      </c>
      <c r="J525" s="65">
        <f>SUM(J521:J524)</f>
        <v>20000</v>
      </c>
      <c r="K525" s="65">
        <f t="shared" ref="K525:P525" si="162">SUM(K521:K524)</f>
        <v>14000</v>
      </c>
      <c r="L525" s="65">
        <f t="shared" si="162"/>
        <v>0</v>
      </c>
      <c r="M525" s="65">
        <f t="shared" si="162"/>
        <v>0</v>
      </c>
      <c r="N525" s="65">
        <f t="shared" si="162"/>
        <v>0</v>
      </c>
      <c r="O525" s="65">
        <f t="shared" si="162"/>
        <v>0</v>
      </c>
      <c r="P525" s="65">
        <f t="shared" si="162"/>
        <v>0</v>
      </c>
      <c r="Q525" s="65"/>
      <c r="R525" s="65"/>
      <c r="S525" s="65"/>
      <c r="T525" s="65"/>
      <c r="U525" s="65"/>
      <c r="V525" s="65"/>
      <c r="W525" s="65"/>
      <c r="X525" s="375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359">
        <v>52</v>
      </c>
      <c r="B526" s="369" t="s">
        <v>149</v>
      </c>
      <c r="C526" s="355">
        <v>2020</v>
      </c>
      <c r="D526" s="355">
        <v>2023</v>
      </c>
      <c r="E526" s="360" t="s">
        <v>258</v>
      </c>
      <c r="F526" s="389">
        <f>X526</f>
        <v>0</v>
      </c>
      <c r="G526" s="354">
        <v>60095</v>
      </c>
      <c r="H526" s="90">
        <v>6050</v>
      </c>
      <c r="I526" s="58" t="s">
        <v>28</v>
      </c>
      <c r="J526" s="65"/>
      <c r="K526" s="65"/>
      <c r="L526" s="84">
        <v>0</v>
      </c>
      <c r="M526" s="84"/>
      <c r="N526" s="84"/>
      <c r="O526" s="84"/>
      <c r="P526" s="62"/>
      <c r="Q526" s="62"/>
      <c r="R526" s="62"/>
      <c r="S526" s="62"/>
      <c r="T526" s="62"/>
      <c r="U526" s="62"/>
      <c r="V526" s="62"/>
      <c r="W526" s="62"/>
      <c r="X526" s="375">
        <f t="shared" ref="X526" si="163">SUM(L530:W530)</f>
        <v>0</v>
      </c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359"/>
      <c r="B527" s="370"/>
      <c r="C527" s="355"/>
      <c r="D527" s="355"/>
      <c r="E527" s="360"/>
      <c r="F527" s="389"/>
      <c r="G527" s="354"/>
      <c r="H527" s="90"/>
      <c r="I527" s="61" t="s">
        <v>31</v>
      </c>
      <c r="J527" s="65"/>
      <c r="K527" s="65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75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359"/>
      <c r="B528" s="370"/>
      <c r="C528" s="355"/>
      <c r="D528" s="355"/>
      <c r="E528" s="360"/>
      <c r="F528" s="389"/>
      <c r="G528" s="354"/>
      <c r="H528" s="90"/>
      <c r="I528" s="61" t="s">
        <v>30</v>
      </c>
      <c r="J528" s="65"/>
      <c r="K528" s="65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375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359"/>
      <c r="B529" s="370"/>
      <c r="C529" s="355"/>
      <c r="D529" s="355"/>
      <c r="E529" s="360"/>
      <c r="F529" s="389"/>
      <c r="G529" s="354"/>
      <c r="I529" s="61" t="s">
        <v>70</v>
      </c>
      <c r="J529" s="65"/>
      <c r="K529" s="65"/>
      <c r="L529" s="84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375"/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5" hidden="1" customHeight="1">
      <c r="A530" s="359"/>
      <c r="B530" s="370"/>
      <c r="C530" s="355"/>
      <c r="D530" s="355"/>
      <c r="E530" s="360"/>
      <c r="F530" s="389"/>
      <c r="G530" s="354"/>
      <c r="H530" s="90"/>
      <c r="I530" s="64" t="s">
        <v>26</v>
      </c>
      <c r="J530" s="65"/>
      <c r="K530" s="65"/>
      <c r="L530" s="65">
        <f t="shared" ref="L530:P530" si="164">SUM(L526:L529)</f>
        <v>0</v>
      </c>
      <c r="M530" s="65">
        <f t="shared" si="164"/>
        <v>0</v>
      </c>
      <c r="N530" s="65">
        <f t="shared" si="164"/>
        <v>0</v>
      </c>
      <c r="O530" s="65">
        <f t="shared" si="164"/>
        <v>0</v>
      </c>
      <c r="P530" s="65">
        <f t="shared" si="164"/>
        <v>0</v>
      </c>
      <c r="Q530" s="65"/>
      <c r="R530" s="65"/>
      <c r="S530" s="65"/>
      <c r="T530" s="65"/>
      <c r="U530" s="65"/>
      <c r="V530" s="65"/>
      <c r="W530" s="65"/>
      <c r="X530" s="375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359">
        <v>53</v>
      </c>
      <c r="B531" s="369" t="s">
        <v>136</v>
      </c>
      <c r="C531" s="371">
        <v>2020</v>
      </c>
      <c r="D531" s="371">
        <v>2022</v>
      </c>
      <c r="E531" s="360" t="s">
        <v>258</v>
      </c>
      <c r="F531" s="386">
        <f>X531</f>
        <v>0</v>
      </c>
      <c r="G531" s="352">
        <v>60095</v>
      </c>
      <c r="H531" s="200"/>
      <c r="I531" s="183" t="s">
        <v>28</v>
      </c>
      <c r="J531" s="161"/>
      <c r="K531" s="161"/>
      <c r="L531" s="156">
        <v>0</v>
      </c>
      <c r="M531" s="156"/>
      <c r="N531" s="156"/>
      <c r="O531" s="156"/>
      <c r="P531" s="187"/>
      <c r="Q531" s="187"/>
      <c r="R531" s="187"/>
      <c r="S531" s="187"/>
      <c r="T531" s="187"/>
      <c r="U531" s="187"/>
      <c r="V531" s="187"/>
      <c r="W531" s="187"/>
      <c r="X531" s="364">
        <f t="shared" ref="X531" si="165">SUM(L535:W535)</f>
        <v>0</v>
      </c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359"/>
      <c r="B532" s="370"/>
      <c r="C532" s="371"/>
      <c r="D532" s="371"/>
      <c r="E532" s="360"/>
      <c r="F532" s="386"/>
      <c r="G532" s="352"/>
      <c r="H532" s="200"/>
      <c r="I532" s="166" t="s">
        <v>31</v>
      </c>
      <c r="J532" s="161"/>
      <c r="K532" s="161"/>
      <c r="L532" s="187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64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359"/>
      <c r="B533" s="370"/>
      <c r="C533" s="371"/>
      <c r="D533" s="371"/>
      <c r="E533" s="360"/>
      <c r="F533" s="386"/>
      <c r="G533" s="352"/>
      <c r="H533" s="200"/>
      <c r="I533" s="166" t="s">
        <v>30</v>
      </c>
      <c r="J533" s="161"/>
      <c r="K533" s="161"/>
      <c r="L533" s="187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364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4.25" hidden="1" customHeight="1">
      <c r="A534" s="359"/>
      <c r="B534" s="370"/>
      <c r="C534" s="371"/>
      <c r="D534" s="371"/>
      <c r="E534" s="360"/>
      <c r="F534" s="386"/>
      <c r="G534" s="352"/>
      <c r="H534" s="200">
        <v>6050</v>
      </c>
      <c r="I534" s="166" t="s">
        <v>70</v>
      </c>
      <c r="J534" s="161"/>
      <c r="K534" s="161"/>
      <c r="L534" s="156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364"/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14.25" hidden="1" customHeight="1">
      <c r="A535" s="359"/>
      <c r="B535" s="370"/>
      <c r="C535" s="371"/>
      <c r="D535" s="371"/>
      <c r="E535" s="360"/>
      <c r="F535" s="386"/>
      <c r="G535" s="352"/>
      <c r="H535" s="200"/>
      <c r="I535" s="160" t="s">
        <v>26</v>
      </c>
      <c r="J535" s="161"/>
      <c r="K535" s="161"/>
      <c r="L535" s="161">
        <f t="shared" ref="L535:P535" si="166">SUM(L531:L534)</f>
        <v>0</v>
      </c>
      <c r="M535" s="161">
        <f t="shared" si="166"/>
        <v>0</v>
      </c>
      <c r="N535" s="161">
        <f t="shared" si="166"/>
        <v>0</v>
      </c>
      <c r="O535" s="161">
        <f t="shared" si="166"/>
        <v>0</v>
      </c>
      <c r="P535" s="161">
        <f t="shared" si="166"/>
        <v>0</v>
      </c>
      <c r="Q535" s="161"/>
      <c r="R535" s="161"/>
      <c r="S535" s="161"/>
      <c r="T535" s="161"/>
      <c r="U535" s="161"/>
      <c r="V535" s="161"/>
      <c r="W535" s="161"/>
      <c r="X535" s="364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12" hidden="1" customHeight="1">
      <c r="A536" s="359">
        <v>54</v>
      </c>
      <c r="B536" s="559" t="s">
        <v>157</v>
      </c>
      <c r="C536" s="371">
        <v>2021</v>
      </c>
      <c r="D536" s="371">
        <v>2022</v>
      </c>
      <c r="E536" s="360" t="s">
        <v>258</v>
      </c>
      <c r="F536" s="386">
        <v>0</v>
      </c>
      <c r="G536" s="352">
        <v>60095</v>
      </c>
      <c r="H536" s="200">
        <v>6050</v>
      </c>
      <c r="I536" s="183" t="s">
        <v>28</v>
      </c>
      <c r="J536" s="161"/>
      <c r="K536" s="161"/>
      <c r="L536" s="156"/>
      <c r="M536" s="156"/>
      <c r="N536" s="156"/>
      <c r="O536" s="156"/>
      <c r="P536" s="187"/>
      <c r="Q536" s="187"/>
      <c r="R536" s="187"/>
      <c r="S536" s="187"/>
      <c r="T536" s="187"/>
      <c r="U536" s="187"/>
      <c r="V536" s="187"/>
      <c r="W536" s="187"/>
      <c r="X536" s="364">
        <f t="shared" ref="X536" si="167">SUM(L540:W540)</f>
        <v>0</v>
      </c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9.75" hidden="1" customHeight="1">
      <c r="A537" s="359"/>
      <c r="B537" s="560"/>
      <c r="C537" s="371"/>
      <c r="D537" s="371"/>
      <c r="E537" s="360"/>
      <c r="F537" s="386"/>
      <c r="G537" s="352"/>
      <c r="H537" s="200">
        <v>6050</v>
      </c>
      <c r="I537" s="166" t="s">
        <v>31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64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8.25" hidden="1" customHeight="1">
      <c r="A538" s="359"/>
      <c r="B538" s="560"/>
      <c r="C538" s="371"/>
      <c r="D538" s="371"/>
      <c r="E538" s="360"/>
      <c r="F538" s="386"/>
      <c r="G538" s="352"/>
      <c r="H538" s="200"/>
      <c r="I538" s="166" t="s">
        <v>30</v>
      </c>
      <c r="J538" s="161"/>
      <c r="K538" s="161"/>
      <c r="L538" s="187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364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2" hidden="1" customHeight="1">
      <c r="A539" s="359"/>
      <c r="B539" s="560"/>
      <c r="C539" s="371"/>
      <c r="D539" s="371"/>
      <c r="E539" s="360"/>
      <c r="F539" s="386"/>
      <c r="G539" s="352"/>
      <c r="H539" s="200"/>
      <c r="I539" s="166" t="s">
        <v>70</v>
      </c>
      <c r="J539" s="161"/>
      <c r="K539" s="161"/>
      <c r="L539" s="156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364"/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5.75" hidden="1" customHeight="1">
      <c r="A540" s="359"/>
      <c r="B540" s="560"/>
      <c r="C540" s="371"/>
      <c r="D540" s="371"/>
      <c r="E540" s="360"/>
      <c r="F540" s="386"/>
      <c r="G540" s="352"/>
      <c r="H540" s="200"/>
      <c r="I540" s="160" t="s">
        <v>26</v>
      </c>
      <c r="J540" s="161"/>
      <c r="K540" s="161"/>
      <c r="L540" s="161">
        <f t="shared" ref="L540:P540" si="168">SUM(L536:L539)</f>
        <v>0</v>
      </c>
      <c r="M540" s="161">
        <f t="shared" si="168"/>
        <v>0</v>
      </c>
      <c r="N540" s="161">
        <f t="shared" si="168"/>
        <v>0</v>
      </c>
      <c r="O540" s="161">
        <f t="shared" si="168"/>
        <v>0</v>
      </c>
      <c r="P540" s="161">
        <f t="shared" si="168"/>
        <v>0</v>
      </c>
      <c r="Q540" s="161"/>
      <c r="R540" s="161"/>
      <c r="S540" s="161"/>
      <c r="T540" s="161"/>
      <c r="U540" s="161"/>
      <c r="V540" s="161"/>
      <c r="W540" s="161"/>
      <c r="X540" s="364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359">
        <v>55</v>
      </c>
      <c r="B541" s="369" t="s">
        <v>156</v>
      </c>
      <c r="C541" s="371">
        <v>2021</v>
      </c>
      <c r="D541" s="371">
        <v>2022</v>
      </c>
      <c r="E541" s="360" t="s">
        <v>258</v>
      </c>
      <c r="F541" s="386">
        <v>0</v>
      </c>
      <c r="G541" s="352">
        <v>60095</v>
      </c>
      <c r="H541" s="200">
        <v>6050</v>
      </c>
      <c r="I541" s="183" t="s">
        <v>28</v>
      </c>
      <c r="J541" s="161"/>
      <c r="K541" s="161"/>
      <c r="L541" s="156"/>
      <c r="M541" s="156"/>
      <c r="N541" s="156"/>
      <c r="O541" s="156"/>
      <c r="P541" s="187"/>
      <c r="Q541" s="187"/>
      <c r="R541" s="187"/>
      <c r="S541" s="187"/>
      <c r="T541" s="187"/>
      <c r="U541" s="187"/>
      <c r="V541" s="187"/>
      <c r="W541" s="187"/>
      <c r="X541" s="364">
        <f t="shared" ref="X541" si="169">SUM(L545:W545)</f>
        <v>0</v>
      </c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20.25" hidden="1" customHeight="1">
      <c r="A542" s="359"/>
      <c r="B542" s="370"/>
      <c r="C542" s="371"/>
      <c r="D542" s="371"/>
      <c r="E542" s="360"/>
      <c r="F542" s="386"/>
      <c r="G542" s="352"/>
      <c r="H542" s="200">
        <v>6050</v>
      </c>
      <c r="I542" s="166" t="s">
        <v>31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64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20.25" hidden="1" customHeight="1">
      <c r="A543" s="359"/>
      <c r="B543" s="370"/>
      <c r="C543" s="371"/>
      <c r="D543" s="371"/>
      <c r="E543" s="360"/>
      <c r="F543" s="386"/>
      <c r="G543" s="352"/>
      <c r="H543" s="200"/>
      <c r="I543" s="166" t="s">
        <v>30</v>
      </c>
      <c r="J543" s="161"/>
      <c r="K543" s="161"/>
      <c r="L543" s="187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364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2" hidden="1" customHeight="1">
      <c r="A544" s="359"/>
      <c r="B544" s="370"/>
      <c r="C544" s="371"/>
      <c r="D544" s="371"/>
      <c r="E544" s="360"/>
      <c r="F544" s="386"/>
      <c r="G544" s="352"/>
      <c r="H544" s="200"/>
      <c r="I544" s="166" t="s">
        <v>70</v>
      </c>
      <c r="J544" s="161"/>
      <c r="K544" s="161"/>
      <c r="L544" s="156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364"/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5" hidden="1" customHeight="1">
      <c r="A545" s="359"/>
      <c r="B545" s="370"/>
      <c r="C545" s="371"/>
      <c r="D545" s="371"/>
      <c r="E545" s="360"/>
      <c r="F545" s="386"/>
      <c r="G545" s="352"/>
      <c r="H545" s="200"/>
      <c r="I545" s="160" t="s">
        <v>26</v>
      </c>
      <c r="J545" s="161"/>
      <c r="K545" s="161"/>
      <c r="L545" s="161">
        <f t="shared" ref="L545:P545" si="170">SUM(L541:L544)</f>
        <v>0</v>
      </c>
      <c r="M545" s="161">
        <f t="shared" si="170"/>
        <v>0</v>
      </c>
      <c r="N545" s="161">
        <f t="shared" si="170"/>
        <v>0</v>
      </c>
      <c r="O545" s="161">
        <f t="shared" si="170"/>
        <v>0</v>
      </c>
      <c r="P545" s="161">
        <f t="shared" si="170"/>
        <v>0</v>
      </c>
      <c r="Q545" s="161"/>
      <c r="R545" s="161"/>
      <c r="S545" s="161"/>
      <c r="T545" s="161"/>
      <c r="U545" s="161"/>
      <c r="V545" s="161"/>
      <c r="W545" s="161"/>
      <c r="X545" s="364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359">
        <v>56</v>
      </c>
      <c r="B546" s="369" t="s">
        <v>158</v>
      </c>
      <c r="C546" s="371">
        <v>2021</v>
      </c>
      <c r="D546" s="371">
        <v>2022</v>
      </c>
      <c r="E546" s="360" t="s">
        <v>258</v>
      </c>
      <c r="F546" s="386">
        <v>0</v>
      </c>
      <c r="G546" s="352">
        <v>60095</v>
      </c>
      <c r="H546" s="200">
        <v>6050</v>
      </c>
      <c r="I546" s="183" t="s">
        <v>28</v>
      </c>
      <c r="J546" s="161"/>
      <c r="K546" s="161"/>
      <c r="L546" s="156"/>
      <c r="M546" s="156"/>
      <c r="N546" s="156"/>
      <c r="O546" s="156"/>
      <c r="P546" s="187"/>
      <c r="Q546" s="187"/>
      <c r="R546" s="187"/>
      <c r="S546" s="187"/>
      <c r="T546" s="187"/>
      <c r="U546" s="187"/>
      <c r="V546" s="187"/>
      <c r="W546" s="187"/>
      <c r="X546" s="364">
        <f t="shared" ref="X546" si="171">SUM(L550:W550)</f>
        <v>0</v>
      </c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359"/>
      <c r="B547" s="370"/>
      <c r="C547" s="371"/>
      <c r="D547" s="371"/>
      <c r="E547" s="360"/>
      <c r="F547" s="386"/>
      <c r="G547" s="352"/>
      <c r="H547" s="200">
        <v>6050</v>
      </c>
      <c r="I547" s="166" t="s">
        <v>31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64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8" hidden="1" customHeight="1">
      <c r="A548" s="359"/>
      <c r="B548" s="370"/>
      <c r="C548" s="371"/>
      <c r="D548" s="371"/>
      <c r="E548" s="360"/>
      <c r="F548" s="386"/>
      <c r="G548" s="352"/>
      <c r="H548" s="200"/>
      <c r="I548" s="166" t="s">
        <v>30</v>
      </c>
      <c r="J548" s="161"/>
      <c r="K548" s="161"/>
      <c r="L548" s="187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364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359"/>
      <c r="B549" s="370"/>
      <c r="C549" s="371"/>
      <c r="D549" s="371"/>
      <c r="E549" s="360"/>
      <c r="F549" s="386"/>
      <c r="G549" s="352"/>
      <c r="H549" s="200"/>
      <c r="I549" s="166" t="s">
        <v>70</v>
      </c>
      <c r="J549" s="161"/>
      <c r="K549" s="161"/>
      <c r="L549" s="156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364"/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359"/>
      <c r="B550" s="370"/>
      <c r="C550" s="371"/>
      <c r="D550" s="371"/>
      <c r="E550" s="360"/>
      <c r="F550" s="386"/>
      <c r="G550" s="352"/>
      <c r="H550" s="200"/>
      <c r="I550" s="160" t="s">
        <v>26</v>
      </c>
      <c r="J550" s="161"/>
      <c r="K550" s="161"/>
      <c r="L550" s="161">
        <f t="shared" ref="L550:P550" si="172">SUM(L546:L549)</f>
        <v>0</v>
      </c>
      <c r="M550" s="161">
        <f t="shared" si="172"/>
        <v>0</v>
      </c>
      <c r="N550" s="161">
        <f t="shared" si="172"/>
        <v>0</v>
      </c>
      <c r="O550" s="161">
        <f t="shared" si="172"/>
        <v>0</v>
      </c>
      <c r="P550" s="161">
        <f t="shared" si="172"/>
        <v>0</v>
      </c>
      <c r="Q550" s="161"/>
      <c r="R550" s="161"/>
      <c r="S550" s="161"/>
      <c r="T550" s="161"/>
      <c r="U550" s="161"/>
      <c r="V550" s="161"/>
      <c r="W550" s="161"/>
      <c r="X550" s="364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359">
        <v>57</v>
      </c>
      <c r="B551" s="369" t="s">
        <v>159</v>
      </c>
      <c r="C551" s="371">
        <v>2021</v>
      </c>
      <c r="D551" s="371">
        <v>2022</v>
      </c>
      <c r="E551" s="360" t="s">
        <v>258</v>
      </c>
      <c r="F551" s="386">
        <v>0</v>
      </c>
      <c r="G551" s="352">
        <v>60095</v>
      </c>
      <c r="H551" s="200">
        <v>6050</v>
      </c>
      <c r="I551" s="183" t="s">
        <v>28</v>
      </c>
      <c r="J551" s="161"/>
      <c r="K551" s="161"/>
      <c r="L551" s="156"/>
      <c r="M551" s="156"/>
      <c r="N551" s="156"/>
      <c r="O551" s="156"/>
      <c r="P551" s="187"/>
      <c r="Q551" s="187"/>
      <c r="R551" s="187"/>
      <c r="S551" s="187"/>
      <c r="T551" s="187"/>
      <c r="U551" s="187"/>
      <c r="V551" s="187"/>
      <c r="W551" s="187"/>
      <c r="X551" s="364">
        <f t="shared" ref="X551" si="173">SUM(L555:W555)</f>
        <v>0</v>
      </c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359"/>
      <c r="B552" s="370"/>
      <c r="C552" s="371"/>
      <c r="D552" s="371"/>
      <c r="E552" s="360"/>
      <c r="F552" s="386"/>
      <c r="G552" s="352"/>
      <c r="H552" s="200"/>
      <c r="I552" s="166" t="s">
        <v>31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64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8" hidden="1" customHeight="1">
      <c r="A553" s="359"/>
      <c r="B553" s="370"/>
      <c r="C553" s="371"/>
      <c r="D553" s="371"/>
      <c r="E553" s="360"/>
      <c r="F553" s="386"/>
      <c r="G553" s="352"/>
      <c r="H553" s="200"/>
      <c r="I553" s="166" t="s">
        <v>30</v>
      </c>
      <c r="J553" s="161"/>
      <c r="K553" s="161"/>
      <c r="L553" s="187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364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8" hidden="1" customHeight="1">
      <c r="A554" s="359"/>
      <c r="B554" s="370"/>
      <c r="C554" s="371"/>
      <c r="D554" s="371"/>
      <c r="E554" s="360"/>
      <c r="F554" s="386"/>
      <c r="G554" s="352"/>
      <c r="H554" s="200"/>
      <c r="I554" s="166" t="s">
        <v>70</v>
      </c>
      <c r="J554" s="161"/>
      <c r="K554" s="161"/>
      <c r="L554" s="156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364"/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21" hidden="1" customHeight="1">
      <c r="A555" s="359"/>
      <c r="B555" s="370"/>
      <c r="C555" s="371"/>
      <c r="D555" s="371"/>
      <c r="E555" s="360"/>
      <c r="F555" s="386"/>
      <c r="G555" s="352"/>
      <c r="H555" s="200"/>
      <c r="I555" s="160" t="s">
        <v>26</v>
      </c>
      <c r="J555" s="161"/>
      <c r="K555" s="161"/>
      <c r="L555" s="161">
        <f t="shared" ref="L555:P555" si="174">SUM(L551:L554)</f>
        <v>0</v>
      </c>
      <c r="M555" s="161">
        <f t="shared" si="174"/>
        <v>0</v>
      </c>
      <c r="N555" s="161">
        <f t="shared" si="174"/>
        <v>0</v>
      </c>
      <c r="O555" s="161">
        <f t="shared" si="174"/>
        <v>0</v>
      </c>
      <c r="P555" s="161">
        <f t="shared" si="174"/>
        <v>0</v>
      </c>
      <c r="Q555" s="161"/>
      <c r="R555" s="161"/>
      <c r="S555" s="161"/>
      <c r="T555" s="161"/>
      <c r="U555" s="161"/>
      <c r="V555" s="161"/>
      <c r="W555" s="161"/>
      <c r="X555" s="364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51">
        <v>41</v>
      </c>
      <c r="B556" s="377" t="s">
        <v>190</v>
      </c>
      <c r="C556" s="471">
        <v>2022</v>
      </c>
      <c r="D556" s="471">
        <v>2024</v>
      </c>
      <c r="E556" s="360" t="s">
        <v>258</v>
      </c>
      <c r="F556" s="549">
        <f>X556</f>
        <v>0</v>
      </c>
      <c r="G556" s="514">
        <v>60016</v>
      </c>
      <c r="H556" s="88">
        <v>6050</v>
      </c>
      <c r="I556" s="210" t="s">
        <v>28</v>
      </c>
      <c r="J556" s="65"/>
      <c r="K556" s="65"/>
      <c r="L556" s="84"/>
      <c r="M556" s="84"/>
      <c r="N556" s="84"/>
      <c r="O556" s="84"/>
      <c r="P556" s="62"/>
      <c r="Q556" s="62"/>
      <c r="R556" s="62"/>
      <c r="S556" s="62"/>
      <c r="T556" s="62"/>
      <c r="U556" s="62"/>
      <c r="V556" s="62"/>
      <c r="W556" s="62"/>
      <c r="X556" s="375">
        <f t="shared" ref="X556" si="175">SUM(L560:W560)</f>
        <v>0</v>
      </c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51"/>
      <c r="B557" s="377"/>
      <c r="C557" s="471"/>
      <c r="D557" s="471"/>
      <c r="E557" s="360"/>
      <c r="F557" s="550"/>
      <c r="G557" s="515"/>
      <c r="H557" s="224"/>
      <c r="I557" s="210" t="s">
        <v>28</v>
      </c>
      <c r="J557" s="65"/>
      <c r="K557" s="65"/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75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.75" hidden="1" customHeight="1">
      <c r="A558" s="351"/>
      <c r="B558" s="377"/>
      <c r="C558" s="471"/>
      <c r="D558" s="471"/>
      <c r="E558" s="360"/>
      <c r="F558" s="550"/>
      <c r="G558" s="515"/>
      <c r="H558" s="88"/>
      <c r="I558" s="210" t="s">
        <v>30</v>
      </c>
      <c r="J558" s="65"/>
      <c r="K558" s="65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375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.75" hidden="1" customHeight="1">
      <c r="A559" s="351"/>
      <c r="B559" s="377"/>
      <c r="C559" s="471"/>
      <c r="D559" s="471"/>
      <c r="E559" s="360"/>
      <c r="F559" s="550"/>
      <c r="G559" s="515"/>
      <c r="H559" s="88"/>
      <c r="I559" s="210" t="s">
        <v>32</v>
      </c>
      <c r="J559" s="65"/>
      <c r="K559" s="65"/>
      <c r="L559" s="84">
        <v>0</v>
      </c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375"/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351"/>
      <c r="B560" s="377"/>
      <c r="C560" s="471"/>
      <c r="D560" s="471"/>
      <c r="E560" s="360"/>
      <c r="F560" s="551"/>
      <c r="G560" s="516"/>
      <c r="H560" s="88"/>
      <c r="I560" s="59" t="s">
        <v>26</v>
      </c>
      <c r="J560" s="65"/>
      <c r="K560" s="65"/>
      <c r="L560" s="65">
        <f t="shared" ref="L560:P560" si="176">SUM(L556:L559)</f>
        <v>0</v>
      </c>
      <c r="M560" s="65">
        <f t="shared" si="176"/>
        <v>0</v>
      </c>
      <c r="N560" s="65">
        <f t="shared" si="176"/>
        <v>0</v>
      </c>
      <c r="O560" s="65">
        <f t="shared" si="176"/>
        <v>0</v>
      </c>
      <c r="P560" s="65">
        <f t="shared" si="176"/>
        <v>0</v>
      </c>
      <c r="Q560" s="65"/>
      <c r="R560" s="65"/>
      <c r="S560" s="65"/>
      <c r="T560" s="65"/>
      <c r="U560" s="65"/>
      <c r="V560" s="65"/>
      <c r="W560" s="65"/>
      <c r="X560" s="375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02">
        <v>42</v>
      </c>
      <c r="B561" s="377" t="s">
        <v>194</v>
      </c>
      <c r="C561" s="355">
        <v>2023</v>
      </c>
      <c r="D561" s="355">
        <v>2024</v>
      </c>
      <c r="E561" s="360" t="s">
        <v>258</v>
      </c>
      <c r="F561" s="556"/>
      <c r="G561" s="354">
        <v>92120</v>
      </c>
      <c r="H561" s="90">
        <v>6580</v>
      </c>
      <c r="I561" s="58" t="s">
        <v>28</v>
      </c>
      <c r="J561" s="84">
        <v>20000</v>
      </c>
      <c r="K561" s="62"/>
      <c r="L561" s="84"/>
      <c r="M561" s="326"/>
      <c r="N561" s="84"/>
      <c r="O561" s="62"/>
      <c r="P561" s="62"/>
      <c r="Q561" s="62"/>
      <c r="R561" s="62"/>
      <c r="S561" s="62"/>
      <c r="T561" s="62"/>
      <c r="U561" s="62"/>
      <c r="V561" s="62"/>
      <c r="W561" s="62"/>
      <c r="X561" s="430">
        <f>SUM(L565:W565)</f>
        <v>0</v>
      </c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03"/>
      <c r="B562" s="377"/>
      <c r="C562" s="355"/>
      <c r="D562" s="355"/>
      <c r="E562" s="360"/>
      <c r="F562" s="556"/>
      <c r="G562" s="354"/>
      <c r="H562" s="90"/>
      <c r="I562" s="61" t="s">
        <v>195</v>
      </c>
      <c r="J562" s="62"/>
      <c r="K562" s="62"/>
      <c r="L562" s="62"/>
      <c r="M562" s="84"/>
      <c r="N562" s="84"/>
      <c r="O562" s="62"/>
      <c r="P562" s="62"/>
      <c r="Q562" s="62"/>
      <c r="R562" s="62"/>
      <c r="S562" s="62"/>
      <c r="T562" s="62"/>
      <c r="U562" s="62"/>
      <c r="V562" s="62"/>
      <c r="W562" s="62"/>
      <c r="X562" s="430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03"/>
      <c r="B563" s="377"/>
      <c r="C563" s="355"/>
      <c r="D563" s="355"/>
      <c r="E563" s="360"/>
      <c r="F563" s="556"/>
      <c r="G563" s="354"/>
      <c r="H563" s="90"/>
      <c r="I563" s="61" t="s">
        <v>30</v>
      </c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430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03"/>
      <c r="B564" s="377"/>
      <c r="C564" s="355"/>
      <c r="D564" s="355"/>
      <c r="E564" s="360"/>
      <c r="F564" s="556"/>
      <c r="G564" s="354"/>
      <c r="H564" s="90"/>
      <c r="I564" s="61" t="s">
        <v>70</v>
      </c>
      <c r="J564" s="62"/>
      <c r="K564" s="62">
        <v>14000</v>
      </c>
      <c r="L564" s="84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430"/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2.75" hidden="1" customHeight="1">
      <c r="A565" s="404"/>
      <c r="B565" s="377"/>
      <c r="C565" s="355"/>
      <c r="D565" s="355"/>
      <c r="E565" s="360"/>
      <c r="F565" s="556"/>
      <c r="G565" s="354"/>
      <c r="H565" s="90"/>
      <c r="I565" s="64" t="s">
        <v>26</v>
      </c>
      <c r="J565" s="65">
        <f>SUM(J561:J564)</f>
        <v>20000</v>
      </c>
      <c r="K565" s="65">
        <f t="shared" ref="K565:P565" si="177">SUM(K561:K564)</f>
        <v>14000</v>
      </c>
      <c r="L565" s="65">
        <f t="shared" si="177"/>
        <v>0</v>
      </c>
      <c r="M565" s="65">
        <f t="shared" si="177"/>
        <v>0</v>
      </c>
      <c r="N565" s="65">
        <f t="shared" si="177"/>
        <v>0</v>
      </c>
      <c r="O565" s="65">
        <f t="shared" si="177"/>
        <v>0</v>
      </c>
      <c r="P565" s="65">
        <f t="shared" si="177"/>
        <v>0</v>
      </c>
      <c r="Q565" s="65"/>
      <c r="R565" s="65"/>
      <c r="S565" s="65"/>
      <c r="T565" s="65"/>
      <c r="U565" s="65"/>
      <c r="V565" s="65"/>
      <c r="W565" s="65"/>
      <c r="X565" s="430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02">
        <v>43</v>
      </c>
      <c r="B566" s="377" t="s">
        <v>197</v>
      </c>
      <c r="C566" s="355">
        <v>2023</v>
      </c>
      <c r="D566" s="355">
        <v>2024</v>
      </c>
      <c r="E566" s="360" t="s">
        <v>258</v>
      </c>
      <c r="F566" s="556"/>
      <c r="G566" s="354">
        <v>60016</v>
      </c>
      <c r="H566" s="90">
        <v>6050</v>
      </c>
      <c r="I566" s="58" t="s">
        <v>28</v>
      </c>
      <c r="J566" s="84">
        <v>20000</v>
      </c>
      <c r="K566" s="62"/>
      <c r="L566" s="84"/>
      <c r="M566" s="326"/>
      <c r="N566" s="84"/>
      <c r="O566" s="62"/>
      <c r="P566" s="62"/>
      <c r="Q566" s="62"/>
      <c r="R566" s="62"/>
      <c r="S566" s="62"/>
      <c r="T566" s="62"/>
      <c r="U566" s="62"/>
      <c r="V566" s="62"/>
      <c r="W566" s="62"/>
      <c r="X566" s="430">
        <f>SUM(L570:W570)</f>
        <v>0</v>
      </c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03"/>
      <c r="B567" s="377"/>
      <c r="C567" s="355"/>
      <c r="D567" s="355"/>
      <c r="E567" s="360"/>
      <c r="F567" s="556"/>
      <c r="G567" s="354"/>
      <c r="H567" s="90">
        <v>6050</v>
      </c>
      <c r="I567" s="61" t="s">
        <v>198</v>
      </c>
      <c r="J567" s="62"/>
      <c r="K567" s="62"/>
      <c r="L567" s="62"/>
      <c r="M567" s="84"/>
      <c r="N567" s="84"/>
      <c r="O567" s="62"/>
      <c r="P567" s="62"/>
      <c r="Q567" s="62"/>
      <c r="R567" s="62"/>
      <c r="S567" s="62"/>
      <c r="T567" s="62"/>
      <c r="U567" s="62"/>
      <c r="V567" s="62"/>
      <c r="W567" s="62"/>
      <c r="X567" s="430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03"/>
      <c r="B568" s="377"/>
      <c r="C568" s="355"/>
      <c r="D568" s="355"/>
      <c r="E568" s="360"/>
      <c r="F568" s="556"/>
      <c r="G568" s="354"/>
      <c r="H568" s="90"/>
      <c r="I568" s="61" t="s">
        <v>30</v>
      </c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430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5" hidden="1" customHeight="1">
      <c r="A569" s="403"/>
      <c r="B569" s="377"/>
      <c r="C569" s="355"/>
      <c r="D569" s="355"/>
      <c r="E569" s="360"/>
      <c r="F569" s="556"/>
      <c r="G569" s="354"/>
      <c r="H569" s="90"/>
      <c r="I569" s="61" t="s">
        <v>70</v>
      </c>
      <c r="J569" s="62"/>
      <c r="K569" s="62">
        <v>14000</v>
      </c>
      <c r="L569" s="84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430"/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04"/>
      <c r="B570" s="377"/>
      <c r="C570" s="355"/>
      <c r="D570" s="355"/>
      <c r="E570" s="360"/>
      <c r="F570" s="556"/>
      <c r="G570" s="354"/>
      <c r="H570" s="90"/>
      <c r="I570" s="64" t="s">
        <v>26</v>
      </c>
      <c r="J570" s="65">
        <f>SUM(J566:J569)</f>
        <v>20000</v>
      </c>
      <c r="K570" s="65">
        <f t="shared" ref="K570:P570" si="178">SUM(K566:K569)</f>
        <v>14000</v>
      </c>
      <c r="L570" s="65">
        <f t="shared" si="178"/>
        <v>0</v>
      </c>
      <c r="M570" s="65">
        <f t="shared" si="178"/>
        <v>0</v>
      </c>
      <c r="N570" s="65">
        <f t="shared" si="178"/>
        <v>0</v>
      </c>
      <c r="O570" s="65">
        <f t="shared" si="178"/>
        <v>0</v>
      </c>
      <c r="P570" s="65">
        <f t="shared" si="178"/>
        <v>0</v>
      </c>
      <c r="Q570" s="65"/>
      <c r="R570" s="65"/>
      <c r="S570" s="65"/>
      <c r="T570" s="65"/>
      <c r="U570" s="65"/>
      <c r="V570" s="65"/>
      <c r="W570" s="65"/>
      <c r="X570" s="430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.75" hidden="1" customHeight="1">
      <c r="A571" s="402">
        <v>44</v>
      </c>
      <c r="B571" s="377" t="s">
        <v>239</v>
      </c>
      <c r="C571" s="355">
        <v>2023</v>
      </c>
      <c r="D571" s="355">
        <v>2024</v>
      </c>
      <c r="E571" s="360" t="s">
        <v>258</v>
      </c>
      <c r="F571" s="389"/>
      <c r="G571" s="354">
        <v>92120</v>
      </c>
      <c r="H571" s="90">
        <v>6580</v>
      </c>
      <c r="I571" s="58" t="s">
        <v>28</v>
      </c>
      <c r="J571" s="84">
        <v>20000</v>
      </c>
      <c r="K571" s="62"/>
      <c r="L571" s="84"/>
      <c r="M571" s="84"/>
      <c r="N571" s="84"/>
      <c r="O571" s="62"/>
      <c r="P571" s="62"/>
      <c r="Q571" s="62"/>
      <c r="R571" s="62"/>
      <c r="S571" s="62"/>
      <c r="T571" s="62"/>
      <c r="U571" s="62"/>
      <c r="V571" s="62"/>
      <c r="W571" s="62"/>
      <c r="X571" s="375">
        <f>SUM(L575:W575)</f>
        <v>0</v>
      </c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5" hidden="1" customHeight="1">
      <c r="A572" s="403"/>
      <c r="B572" s="377"/>
      <c r="C572" s="355"/>
      <c r="D572" s="355"/>
      <c r="E572" s="360"/>
      <c r="F572" s="389"/>
      <c r="G572" s="354"/>
      <c r="H572" s="90"/>
      <c r="I572" s="61" t="s">
        <v>223</v>
      </c>
      <c r="J572" s="62"/>
      <c r="K572" s="62"/>
      <c r="L572" s="62"/>
      <c r="M572" s="84"/>
      <c r="N572" s="84"/>
      <c r="O572" s="62"/>
      <c r="P572" s="62"/>
      <c r="Q572" s="62"/>
      <c r="R572" s="62"/>
      <c r="S572" s="62"/>
      <c r="T572" s="62"/>
      <c r="U572" s="62"/>
      <c r="V572" s="62"/>
      <c r="W572" s="62"/>
      <c r="X572" s="375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2" hidden="1" customHeight="1">
      <c r="A573" s="403"/>
      <c r="B573" s="377"/>
      <c r="C573" s="355"/>
      <c r="D573" s="355"/>
      <c r="E573" s="360"/>
      <c r="F573" s="389"/>
      <c r="G573" s="354"/>
      <c r="H573" s="90"/>
      <c r="I573" s="61" t="s">
        <v>30</v>
      </c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375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2" hidden="1" customHeight="1">
      <c r="A574" s="403"/>
      <c r="B574" s="377"/>
      <c r="C574" s="355"/>
      <c r="D574" s="355"/>
      <c r="E574" s="360"/>
      <c r="F574" s="389"/>
      <c r="G574" s="354"/>
      <c r="H574" s="90"/>
      <c r="I574" s="61" t="s">
        <v>70</v>
      </c>
      <c r="J574" s="62"/>
      <c r="K574" s="62">
        <v>14000</v>
      </c>
      <c r="L574" s="84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375"/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11.25" hidden="1" customHeight="1">
      <c r="A575" s="404"/>
      <c r="B575" s="377"/>
      <c r="C575" s="355"/>
      <c r="D575" s="355"/>
      <c r="E575" s="360"/>
      <c r="F575" s="389"/>
      <c r="G575" s="354"/>
      <c r="H575" s="90"/>
      <c r="I575" s="64" t="s">
        <v>26</v>
      </c>
      <c r="J575" s="65">
        <f>SUM(J571:J574)</f>
        <v>20000</v>
      </c>
      <c r="K575" s="65">
        <f t="shared" ref="K575:P575" si="179">SUM(K571:K574)</f>
        <v>14000</v>
      </c>
      <c r="L575" s="65">
        <f t="shared" si="179"/>
        <v>0</v>
      </c>
      <c r="M575" s="65">
        <f t="shared" si="179"/>
        <v>0</v>
      </c>
      <c r="N575" s="65">
        <f t="shared" si="179"/>
        <v>0</v>
      </c>
      <c r="O575" s="65">
        <f t="shared" si="179"/>
        <v>0</v>
      </c>
      <c r="P575" s="65">
        <f t="shared" si="179"/>
        <v>0</v>
      </c>
      <c r="Q575" s="65"/>
      <c r="R575" s="65"/>
      <c r="S575" s="65"/>
      <c r="T575" s="65"/>
      <c r="U575" s="65"/>
      <c r="V575" s="65"/>
      <c r="W575" s="65"/>
      <c r="X575" s="375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51">
        <v>41</v>
      </c>
      <c r="B576" s="378" t="s">
        <v>96</v>
      </c>
      <c r="C576" s="355">
        <v>2018</v>
      </c>
      <c r="D576" s="405">
        <v>2026</v>
      </c>
      <c r="E576" s="360" t="s">
        <v>258</v>
      </c>
      <c r="F576" s="389">
        <f>227300+X576</f>
        <v>377300</v>
      </c>
      <c r="G576" s="354">
        <v>63003</v>
      </c>
      <c r="H576" s="90">
        <v>6050</v>
      </c>
      <c r="I576" s="210" t="s">
        <v>28</v>
      </c>
      <c r="J576" s="84">
        <v>57810</v>
      </c>
      <c r="K576" s="62"/>
      <c r="L576" s="62"/>
      <c r="M576" s="84">
        <v>0</v>
      </c>
      <c r="N576" s="84"/>
      <c r="O576" s="84">
        <v>150000</v>
      </c>
      <c r="P576" s="243"/>
      <c r="Q576" s="84"/>
      <c r="R576" s="84"/>
      <c r="S576" s="84"/>
      <c r="T576" s="84"/>
      <c r="U576" s="84"/>
      <c r="V576" s="84"/>
      <c r="W576" s="84"/>
      <c r="X576" s="375">
        <f>SUM(K580:W580)</f>
        <v>150000</v>
      </c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51"/>
      <c r="B577" s="378"/>
      <c r="C577" s="355"/>
      <c r="D577" s="405"/>
      <c r="E577" s="360"/>
      <c r="F577" s="389"/>
      <c r="G577" s="354"/>
      <c r="H577" s="90"/>
      <c r="I577" s="210" t="s">
        <v>28</v>
      </c>
      <c r="J577" s="62"/>
      <c r="K577" s="62"/>
      <c r="L577" s="62"/>
      <c r="M577" s="84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75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11.25" customHeight="1">
      <c r="A578" s="351"/>
      <c r="B578" s="378"/>
      <c r="C578" s="355"/>
      <c r="D578" s="405"/>
      <c r="E578" s="360"/>
      <c r="F578" s="389"/>
      <c r="G578" s="354"/>
      <c r="H578" s="90"/>
      <c r="I578" s="60" t="s">
        <v>30</v>
      </c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375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1.25" customHeight="1">
      <c r="A579" s="351"/>
      <c r="B579" s="378"/>
      <c r="C579" s="355"/>
      <c r="D579" s="405"/>
      <c r="E579" s="360"/>
      <c r="F579" s="389"/>
      <c r="G579" s="354"/>
      <c r="H579" s="90"/>
      <c r="I579" s="60" t="s">
        <v>33</v>
      </c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375"/>
      <c r="Y579" s="40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48"/>
      <c r="CE579" s="148"/>
      <c r="CF579" s="148"/>
      <c r="CG579" s="148"/>
      <c r="CH579" s="148"/>
      <c r="CI579" s="148"/>
      <c r="CJ579" s="148"/>
      <c r="CK579" s="148"/>
      <c r="CL579" s="148"/>
      <c r="CM579" s="148"/>
      <c r="CN579" s="148"/>
      <c r="CO579" s="148"/>
      <c r="CP579" s="148"/>
      <c r="CQ579" s="148"/>
      <c r="CR579" s="148"/>
      <c r="CS579" s="148"/>
      <c r="CT579" s="148"/>
      <c r="CU579" s="148"/>
      <c r="CV579" s="148"/>
      <c r="CW579" s="148"/>
      <c r="CX579" s="148"/>
      <c r="CY579" s="148"/>
      <c r="CZ579" s="148"/>
      <c r="DA579" s="148"/>
      <c r="DB579" s="148"/>
      <c r="DC579" s="148"/>
      <c r="DD579" s="148"/>
      <c r="DE579" s="148"/>
      <c r="DF579" s="148"/>
      <c r="DG579" s="148"/>
      <c r="DH579" s="148"/>
      <c r="DI579" s="148"/>
      <c r="DJ579" s="148"/>
      <c r="DK579" s="148"/>
      <c r="DL579" s="148"/>
      <c r="DM579" s="148"/>
      <c r="DN579" s="148"/>
      <c r="DO579" s="148"/>
      <c r="DP579" s="148"/>
      <c r="DQ579" s="148"/>
      <c r="DR579" s="148"/>
      <c r="DS579" s="148"/>
      <c r="DT579" s="148"/>
      <c r="DU579" s="148"/>
      <c r="DV579" s="148"/>
      <c r="DW579" s="148"/>
      <c r="DX579" s="148"/>
      <c r="DY579" s="148"/>
      <c r="DZ579" s="148"/>
      <c r="EA579" s="148"/>
      <c r="EB579" s="148"/>
      <c r="EC579" s="148"/>
      <c r="ED579" s="148"/>
      <c r="EE579" s="148"/>
      <c r="EF579" s="148"/>
      <c r="EG579" s="148"/>
      <c r="EH579" s="148"/>
      <c r="EI579" s="148"/>
      <c r="EJ579" s="148"/>
      <c r="EK579" s="148"/>
      <c r="EL579" s="148"/>
      <c r="EM579" s="148"/>
      <c r="EN579" s="148"/>
      <c r="EO579" s="148"/>
      <c r="EP579" s="148"/>
      <c r="EQ579" s="148"/>
      <c r="ER579" s="148"/>
      <c r="ES579" s="148"/>
      <c r="ET579" s="148"/>
      <c r="EU579" s="148"/>
      <c r="EV579" s="148"/>
      <c r="EW579" s="148"/>
      <c r="EX579" s="148"/>
      <c r="EY579" s="148"/>
      <c r="EZ579" s="148"/>
      <c r="FA579" s="148"/>
      <c r="FB579" s="148"/>
      <c r="FC579" s="148"/>
      <c r="FD579" s="148"/>
      <c r="FE579" s="148"/>
      <c r="FF579" s="148"/>
      <c r="FG579" s="148"/>
      <c r="FH579" s="148"/>
      <c r="FI579" s="148"/>
      <c r="FJ579" s="148"/>
      <c r="FK579" s="148"/>
      <c r="FL579" s="148"/>
      <c r="FM579" s="148"/>
      <c r="FN579" s="148"/>
      <c r="FO579" s="148"/>
      <c r="FP579" s="148"/>
      <c r="FQ579" s="148"/>
      <c r="FR579" s="148"/>
      <c r="FS579" s="148"/>
      <c r="FT579" s="148"/>
      <c r="FU579" s="148"/>
      <c r="FV579" s="148"/>
      <c r="FW579" s="148"/>
      <c r="FX579" s="148"/>
      <c r="FY579" s="148"/>
      <c r="FZ579" s="148"/>
      <c r="GA579" s="148"/>
      <c r="GB579" s="148"/>
      <c r="GC579" s="148"/>
      <c r="GD579" s="148"/>
      <c r="GE579" s="148"/>
      <c r="GF579" s="148"/>
      <c r="GG579" s="148"/>
      <c r="GH579" s="148"/>
      <c r="GI579" s="148"/>
      <c r="GJ579" s="148"/>
      <c r="GK579" s="148"/>
      <c r="GL579" s="148"/>
      <c r="GM579" s="148"/>
      <c r="GN579" s="148"/>
      <c r="GO579" s="148"/>
      <c r="GP579" s="96"/>
    </row>
    <row r="580" spans="1:198" ht="9" customHeight="1">
      <c r="A580" s="351"/>
      <c r="B580" s="378"/>
      <c r="C580" s="355"/>
      <c r="D580" s="405"/>
      <c r="E580" s="360"/>
      <c r="F580" s="389"/>
      <c r="G580" s="354"/>
      <c r="H580" s="90"/>
      <c r="I580" s="64" t="s">
        <v>26</v>
      </c>
      <c r="J580" s="65">
        <f>SUM(J576:J579)</f>
        <v>57810</v>
      </c>
      <c r="K580" s="65">
        <f t="shared" ref="K580:N580" si="180">SUM(K576:K579)</f>
        <v>0</v>
      </c>
      <c r="L580" s="65">
        <f t="shared" si="180"/>
        <v>0</v>
      </c>
      <c r="M580" s="65">
        <f t="shared" si="180"/>
        <v>0</v>
      </c>
      <c r="N580" s="65">
        <f t="shared" si="180"/>
        <v>0</v>
      </c>
      <c r="O580" s="65">
        <f>SUM(O576:O579)</f>
        <v>150000</v>
      </c>
      <c r="P580" s="65">
        <f>SUM(P576:P579)</f>
        <v>0</v>
      </c>
      <c r="Q580" s="65"/>
      <c r="R580" s="65"/>
      <c r="S580" s="65"/>
      <c r="T580" s="65"/>
      <c r="U580" s="65"/>
      <c r="V580" s="65"/>
      <c r="W580" s="65"/>
      <c r="X580" s="375"/>
      <c r="Y580" s="40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48"/>
      <c r="CE580" s="148"/>
      <c r="CF580" s="148"/>
      <c r="CG580" s="148"/>
      <c r="CH580" s="148"/>
      <c r="CI580" s="148"/>
      <c r="CJ580" s="148"/>
      <c r="CK580" s="148"/>
      <c r="CL580" s="148"/>
      <c r="CM580" s="148"/>
      <c r="CN580" s="148"/>
      <c r="CO580" s="148"/>
      <c r="CP580" s="148"/>
      <c r="CQ580" s="148"/>
      <c r="CR580" s="148"/>
      <c r="CS580" s="148"/>
      <c r="CT580" s="148"/>
      <c r="CU580" s="148"/>
      <c r="CV580" s="148"/>
      <c r="CW580" s="148"/>
      <c r="CX580" s="148"/>
      <c r="CY580" s="148"/>
      <c r="CZ580" s="148"/>
      <c r="DA580" s="148"/>
      <c r="DB580" s="148"/>
      <c r="DC580" s="148"/>
      <c r="DD580" s="148"/>
      <c r="DE580" s="148"/>
      <c r="DF580" s="148"/>
      <c r="DG580" s="148"/>
      <c r="DH580" s="148"/>
      <c r="DI580" s="148"/>
      <c r="DJ580" s="148"/>
      <c r="DK580" s="148"/>
      <c r="DL580" s="148"/>
      <c r="DM580" s="148"/>
      <c r="DN580" s="148"/>
      <c r="DO580" s="148"/>
      <c r="DP580" s="148"/>
      <c r="DQ580" s="148"/>
      <c r="DR580" s="148"/>
      <c r="DS580" s="148"/>
      <c r="DT580" s="148"/>
      <c r="DU580" s="148"/>
      <c r="DV580" s="148"/>
      <c r="DW580" s="148"/>
      <c r="DX580" s="148"/>
      <c r="DY580" s="148"/>
      <c r="DZ580" s="148"/>
      <c r="EA580" s="148"/>
      <c r="EB580" s="148"/>
      <c r="EC580" s="148"/>
      <c r="ED580" s="148"/>
      <c r="EE580" s="148"/>
      <c r="EF580" s="148"/>
      <c r="EG580" s="148"/>
      <c r="EH580" s="148"/>
      <c r="EI580" s="148"/>
      <c r="EJ580" s="148"/>
      <c r="EK580" s="148"/>
      <c r="EL580" s="148"/>
      <c r="EM580" s="148"/>
      <c r="EN580" s="148"/>
      <c r="EO580" s="148"/>
      <c r="EP580" s="148"/>
      <c r="EQ580" s="148"/>
      <c r="ER580" s="148"/>
      <c r="ES580" s="148"/>
      <c r="ET580" s="148"/>
      <c r="EU580" s="148"/>
      <c r="EV580" s="148"/>
      <c r="EW580" s="148"/>
      <c r="EX580" s="148"/>
      <c r="EY580" s="148"/>
      <c r="EZ580" s="148"/>
      <c r="FA580" s="148"/>
      <c r="FB580" s="148"/>
      <c r="FC580" s="148"/>
      <c r="FD580" s="148"/>
      <c r="FE580" s="148"/>
      <c r="FF580" s="148"/>
      <c r="FG580" s="148"/>
      <c r="FH580" s="148"/>
      <c r="FI580" s="148"/>
      <c r="FJ580" s="148"/>
      <c r="FK580" s="148"/>
      <c r="FL580" s="148"/>
      <c r="FM580" s="148"/>
      <c r="FN580" s="148"/>
      <c r="FO580" s="148"/>
      <c r="FP580" s="148"/>
      <c r="FQ580" s="148"/>
      <c r="FR580" s="148"/>
      <c r="FS580" s="148"/>
      <c r="FT580" s="148"/>
      <c r="FU580" s="148"/>
      <c r="FV580" s="148"/>
      <c r="FW580" s="148"/>
      <c r="FX580" s="148"/>
      <c r="FY580" s="148"/>
      <c r="FZ580" s="148"/>
      <c r="GA580" s="148"/>
      <c r="GB580" s="148"/>
      <c r="GC580" s="148"/>
      <c r="GD580" s="148"/>
      <c r="GE580" s="148"/>
      <c r="GF580" s="148"/>
      <c r="GG580" s="148"/>
      <c r="GH580" s="148"/>
      <c r="GI580" s="148"/>
      <c r="GJ580" s="148"/>
      <c r="GK580" s="148"/>
      <c r="GL580" s="148"/>
      <c r="GM580" s="148"/>
      <c r="GN580" s="148"/>
      <c r="GO580" s="148"/>
      <c r="GP580" s="96"/>
    </row>
    <row r="581" spans="1:198" ht="14.25" customHeight="1">
      <c r="A581" s="351">
        <v>42</v>
      </c>
      <c r="B581" s="378" t="s">
        <v>94</v>
      </c>
      <c r="C581" s="397">
        <v>2017</v>
      </c>
      <c r="D581" s="397">
        <v>2033</v>
      </c>
      <c r="E581" s="360" t="s">
        <v>258</v>
      </c>
      <c r="F581" s="555">
        <f>9237968+X581+2063150.72</f>
        <v>14543392.720000001</v>
      </c>
      <c r="G581" s="439">
        <v>70005</v>
      </c>
      <c r="H581" s="86">
        <v>6060</v>
      </c>
      <c r="I581" s="58" t="s">
        <v>28</v>
      </c>
      <c r="J581" s="87">
        <v>792379</v>
      </c>
      <c r="K581" s="87">
        <v>1440880</v>
      </c>
      <c r="L581" s="87"/>
      <c r="M581" s="333"/>
      <c r="N581" s="87">
        <v>818510</v>
      </c>
      <c r="O581" s="87">
        <v>1001695</v>
      </c>
      <c r="P581" s="84">
        <v>819791</v>
      </c>
      <c r="Q581" s="84">
        <v>102278</v>
      </c>
      <c r="R581" s="84">
        <v>100000</v>
      </c>
      <c r="S581" s="84">
        <v>100000</v>
      </c>
      <c r="T581" s="84">
        <v>100000</v>
      </c>
      <c r="U581" s="84">
        <v>100000</v>
      </c>
      <c r="V581" s="84">
        <v>100000</v>
      </c>
      <c r="W581" s="62"/>
      <c r="X581" s="555">
        <f>SUM(L585:W585)</f>
        <v>3242274</v>
      </c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4.25" customHeight="1">
      <c r="A582" s="351"/>
      <c r="B582" s="378"/>
      <c r="C582" s="397"/>
      <c r="D582" s="397"/>
      <c r="E582" s="360"/>
      <c r="F582" s="555"/>
      <c r="G582" s="439"/>
      <c r="H582" s="86"/>
      <c r="I582" s="58" t="s">
        <v>31</v>
      </c>
      <c r="J582" s="71"/>
      <c r="K582" s="71"/>
      <c r="L582" s="71"/>
      <c r="M582" s="309"/>
      <c r="N582" s="71"/>
      <c r="O582" s="71"/>
      <c r="P582" s="62"/>
      <c r="Q582" s="62"/>
      <c r="R582" s="62"/>
      <c r="S582" s="62"/>
      <c r="T582" s="62"/>
      <c r="U582" s="62"/>
      <c r="V582" s="62"/>
      <c r="W582" s="62"/>
      <c r="X582" s="555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4.25" customHeight="1">
      <c r="A583" s="351"/>
      <c r="B583" s="378"/>
      <c r="C583" s="397"/>
      <c r="D583" s="397"/>
      <c r="E583" s="360"/>
      <c r="F583" s="555"/>
      <c r="G583" s="439"/>
      <c r="H583" s="86"/>
      <c r="I583" s="58" t="s">
        <v>30</v>
      </c>
      <c r="J583" s="71"/>
      <c r="K583" s="71"/>
      <c r="L583" s="71"/>
      <c r="M583" s="310"/>
      <c r="N583" s="70"/>
      <c r="O583" s="70"/>
      <c r="P583" s="62"/>
      <c r="Q583" s="62"/>
      <c r="R583" s="62"/>
      <c r="S583" s="62"/>
      <c r="T583" s="62"/>
      <c r="U583" s="62"/>
      <c r="V583" s="62"/>
      <c r="W583" s="62"/>
      <c r="X583" s="555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2.75" customHeight="1">
      <c r="A584" s="351"/>
      <c r="B584" s="378"/>
      <c r="C584" s="397"/>
      <c r="D584" s="397"/>
      <c r="E584" s="360"/>
      <c r="F584" s="555"/>
      <c r="G584" s="439"/>
      <c r="H584" s="86">
        <v>6050</v>
      </c>
      <c r="I584" s="58" t="s">
        <v>33</v>
      </c>
      <c r="J584" s="71"/>
      <c r="K584" s="71"/>
      <c r="L584" s="87"/>
      <c r="M584" s="310"/>
      <c r="N584" s="70"/>
      <c r="O584" s="70"/>
      <c r="P584" s="62"/>
      <c r="Q584" s="62"/>
      <c r="R584" s="62"/>
      <c r="S584" s="62"/>
      <c r="T584" s="62"/>
      <c r="U584" s="62"/>
      <c r="V584" s="62"/>
      <c r="W584" s="62"/>
      <c r="X584" s="555"/>
      <c r="Y584" s="40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9.75" customHeight="1">
      <c r="A585" s="351"/>
      <c r="B585" s="378"/>
      <c r="C585" s="397"/>
      <c r="D585" s="397"/>
      <c r="E585" s="360"/>
      <c r="F585" s="555"/>
      <c r="G585" s="439"/>
      <c r="H585" s="86"/>
      <c r="I585" s="59" t="s">
        <v>26</v>
      </c>
      <c r="J585" s="212">
        <f t="shared" ref="J585:V585" si="181">SUM(J581:J584)</f>
        <v>792379</v>
      </c>
      <c r="K585" s="237">
        <f t="shared" si="181"/>
        <v>1440880</v>
      </c>
      <c r="L585" s="212">
        <f t="shared" si="181"/>
        <v>0</v>
      </c>
      <c r="M585" s="311">
        <f t="shared" si="181"/>
        <v>0</v>
      </c>
      <c r="N585" s="320">
        <f t="shared" si="181"/>
        <v>818510</v>
      </c>
      <c r="O585" s="320">
        <f t="shared" si="181"/>
        <v>1001695</v>
      </c>
      <c r="P585" s="320">
        <f t="shared" si="181"/>
        <v>819791</v>
      </c>
      <c r="Q585" s="212">
        <f t="shared" si="181"/>
        <v>102278</v>
      </c>
      <c r="R585" s="212">
        <f t="shared" si="181"/>
        <v>100000</v>
      </c>
      <c r="S585" s="212">
        <f t="shared" si="181"/>
        <v>100000</v>
      </c>
      <c r="T585" s="212">
        <f t="shared" si="181"/>
        <v>100000</v>
      </c>
      <c r="U585" s="212">
        <f t="shared" si="181"/>
        <v>100000</v>
      </c>
      <c r="V585" s="212">
        <f t="shared" si="181"/>
        <v>100000</v>
      </c>
      <c r="W585" s="212"/>
      <c r="X585" s="555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51">
        <v>43</v>
      </c>
      <c r="B586" s="378" t="s">
        <v>140</v>
      </c>
      <c r="C586" s="388">
        <v>2021</v>
      </c>
      <c r="D586" s="388">
        <v>2028</v>
      </c>
      <c r="E586" s="360" t="s">
        <v>258</v>
      </c>
      <c r="F586" s="368">
        <f>61652+X586</f>
        <v>2561652</v>
      </c>
      <c r="G586" s="354">
        <v>70005</v>
      </c>
      <c r="H586" s="89">
        <v>6050</v>
      </c>
      <c r="I586" s="60" t="s">
        <v>28</v>
      </c>
      <c r="J586" s="77"/>
      <c r="K586" s="77"/>
      <c r="L586" s="211"/>
      <c r="M586" s="316"/>
      <c r="N586" s="322"/>
      <c r="O586" s="322"/>
      <c r="P586" s="87">
        <v>870000</v>
      </c>
      <c r="Q586" s="318">
        <v>1630000</v>
      </c>
      <c r="R586" s="77"/>
      <c r="S586" s="77"/>
      <c r="T586" s="77"/>
      <c r="U586" s="77"/>
      <c r="V586" s="77"/>
      <c r="W586" s="77"/>
      <c r="X586" s="375">
        <f>SUM(L590:W590)</f>
        <v>2500000</v>
      </c>
      <c r="Y586" s="138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51"/>
      <c r="B587" s="378"/>
      <c r="C587" s="388"/>
      <c r="D587" s="388"/>
      <c r="E587" s="360"/>
      <c r="F587" s="368"/>
      <c r="G587" s="354"/>
      <c r="H587" s="89"/>
      <c r="I587" s="60" t="s">
        <v>31</v>
      </c>
      <c r="J587" s="70"/>
      <c r="K587" s="70"/>
      <c r="L587" s="70"/>
      <c r="M587" s="317"/>
      <c r="N587" s="70"/>
      <c r="O587" s="70"/>
      <c r="P587" s="70"/>
      <c r="Q587" s="319"/>
      <c r="R587" s="70"/>
      <c r="S587" s="70"/>
      <c r="T587" s="70"/>
      <c r="U587" s="70"/>
      <c r="V587" s="70"/>
      <c r="W587" s="70"/>
      <c r="X587" s="375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51"/>
      <c r="B588" s="378"/>
      <c r="C588" s="388"/>
      <c r="D588" s="388"/>
      <c r="E588" s="360"/>
      <c r="F588" s="368"/>
      <c r="G588" s="354"/>
      <c r="H588" s="89"/>
      <c r="I588" s="60" t="s">
        <v>30</v>
      </c>
      <c r="J588" s="70"/>
      <c r="K588" s="70"/>
      <c r="L588" s="70"/>
      <c r="M588" s="317"/>
      <c r="N588" s="70"/>
      <c r="O588" s="70"/>
      <c r="P588" s="70"/>
      <c r="Q588" s="319"/>
      <c r="R588" s="70"/>
      <c r="S588" s="70"/>
      <c r="T588" s="70"/>
      <c r="U588" s="70"/>
      <c r="V588" s="70"/>
      <c r="W588" s="70"/>
      <c r="X588" s="375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3.5" customHeight="1">
      <c r="A589" s="351"/>
      <c r="B589" s="378"/>
      <c r="C589" s="388"/>
      <c r="D589" s="388"/>
      <c r="E589" s="360"/>
      <c r="F589" s="368"/>
      <c r="G589" s="354"/>
      <c r="H589" s="89">
        <v>6050</v>
      </c>
      <c r="I589" s="60" t="s">
        <v>55</v>
      </c>
      <c r="J589" s="70"/>
      <c r="K589" s="70"/>
      <c r="L589" s="87"/>
      <c r="M589" s="71">
        <v>0</v>
      </c>
      <c r="N589" s="321"/>
      <c r="O589" s="321"/>
      <c r="P589" s="321"/>
      <c r="Q589" s="70"/>
      <c r="R589" s="70"/>
      <c r="S589" s="70"/>
      <c r="T589" s="70"/>
      <c r="U589" s="70"/>
      <c r="V589" s="70"/>
      <c r="W589" s="70"/>
      <c r="X589" s="375"/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3.5" customHeight="1">
      <c r="A590" s="351"/>
      <c r="B590" s="378"/>
      <c r="C590" s="388"/>
      <c r="D590" s="388"/>
      <c r="E590" s="360"/>
      <c r="F590" s="368"/>
      <c r="G590" s="354"/>
      <c r="H590" s="89"/>
      <c r="I590" s="72" t="s">
        <v>26</v>
      </c>
      <c r="J590" s="66">
        <f t="shared" ref="J590:N590" si="182">SUM(J586:J589)</f>
        <v>0</v>
      </c>
      <c r="K590" s="66">
        <f t="shared" si="182"/>
        <v>0</v>
      </c>
      <c r="L590" s="66">
        <f t="shared" si="182"/>
        <v>0</v>
      </c>
      <c r="M590" s="66">
        <f>SUM(M586:M589)</f>
        <v>0</v>
      </c>
      <c r="N590" s="66">
        <f t="shared" si="182"/>
        <v>0</v>
      </c>
      <c r="O590" s="66">
        <f>SUM(O586:O589)</f>
        <v>0</v>
      </c>
      <c r="P590" s="66">
        <f>SUM(P586:P589)</f>
        <v>870000</v>
      </c>
      <c r="Q590" s="66">
        <f t="shared" ref="Q590:T590" si="183">SUM(Q586:Q589)</f>
        <v>1630000</v>
      </c>
      <c r="R590" s="66">
        <f t="shared" si="183"/>
        <v>0</v>
      </c>
      <c r="S590" s="66">
        <f t="shared" si="183"/>
        <v>0</v>
      </c>
      <c r="T590" s="66">
        <f t="shared" si="183"/>
        <v>0</v>
      </c>
      <c r="U590" s="66"/>
      <c r="V590" s="66"/>
      <c r="W590" s="66"/>
      <c r="X590" s="375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51">
        <v>44</v>
      </c>
      <c r="B591" s="378" t="s">
        <v>103</v>
      </c>
      <c r="C591" s="388">
        <v>2019</v>
      </c>
      <c r="D591" s="388">
        <v>2030</v>
      </c>
      <c r="E591" s="360" t="s">
        <v>258</v>
      </c>
      <c r="F591" s="368">
        <f>63000+X591</f>
        <v>2463000</v>
      </c>
      <c r="G591" s="354">
        <v>70005</v>
      </c>
      <c r="H591" s="89">
        <v>6050</v>
      </c>
      <c r="I591" s="60" t="s">
        <v>28</v>
      </c>
      <c r="J591" s="77">
        <v>46947</v>
      </c>
      <c r="K591" s="87">
        <v>3000</v>
      </c>
      <c r="L591" s="77"/>
      <c r="M591" s="87"/>
      <c r="N591" s="243"/>
      <c r="O591" s="243"/>
      <c r="P591" s="243"/>
      <c r="Q591" s="87">
        <v>500000</v>
      </c>
      <c r="R591" s="87">
        <v>1500000</v>
      </c>
      <c r="S591" s="87">
        <v>400000</v>
      </c>
      <c r="T591" s="71"/>
      <c r="U591" s="71"/>
      <c r="V591" s="71"/>
      <c r="W591" s="71"/>
      <c r="X591" s="375">
        <f>SUM(L595:W595)</f>
        <v>2400000</v>
      </c>
      <c r="Y591" s="138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51"/>
      <c r="B592" s="378"/>
      <c r="C592" s="388"/>
      <c r="D592" s="388"/>
      <c r="E592" s="360"/>
      <c r="F592" s="368"/>
      <c r="G592" s="354"/>
      <c r="H592" s="89"/>
      <c r="I592" s="60" t="s">
        <v>31</v>
      </c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75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51"/>
      <c r="B593" s="378"/>
      <c r="C593" s="388"/>
      <c r="D593" s="388"/>
      <c r="E593" s="360"/>
      <c r="F593" s="368"/>
      <c r="G593" s="354"/>
      <c r="H593" s="89"/>
      <c r="I593" s="60" t="s">
        <v>30</v>
      </c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375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1.25" customHeight="1">
      <c r="A594" s="351"/>
      <c r="B594" s="378"/>
      <c r="C594" s="388"/>
      <c r="D594" s="388"/>
      <c r="E594" s="360"/>
      <c r="F594" s="368"/>
      <c r="G594" s="354"/>
      <c r="H594" s="89"/>
      <c r="I594" s="60" t="s">
        <v>91</v>
      </c>
      <c r="J594" s="70">
        <v>13053</v>
      </c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375"/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1.25" customHeight="1">
      <c r="A595" s="351"/>
      <c r="B595" s="378"/>
      <c r="C595" s="388"/>
      <c r="D595" s="388"/>
      <c r="E595" s="360"/>
      <c r="F595" s="368"/>
      <c r="G595" s="354"/>
      <c r="H595" s="89"/>
      <c r="I595" s="72" t="s">
        <v>26</v>
      </c>
      <c r="J595" s="66">
        <f t="shared" ref="J595:K595" si="184">SUM(J591:J594)</f>
        <v>60000</v>
      </c>
      <c r="K595" s="66">
        <f t="shared" si="184"/>
        <v>3000</v>
      </c>
      <c r="L595" s="66">
        <f>SUM(L591:L594)</f>
        <v>0</v>
      </c>
      <c r="M595" s="66">
        <f>SUM(M591:M594)</f>
        <v>0</v>
      </c>
      <c r="N595" s="65">
        <f t="shared" ref="N595" si="185">SUM(N591:N594)</f>
        <v>0</v>
      </c>
      <c r="O595" s="66">
        <f>SUM(O591:O594)</f>
        <v>0</v>
      </c>
      <c r="P595" s="66">
        <f>SUM(P591:P594)</f>
        <v>0</v>
      </c>
      <c r="Q595" s="66">
        <f t="shared" ref="Q595:W595" si="186">SUM(Q591:Q594)</f>
        <v>500000</v>
      </c>
      <c r="R595" s="66">
        <f t="shared" si="186"/>
        <v>1500000</v>
      </c>
      <c r="S595" s="66">
        <f t="shared" si="186"/>
        <v>400000</v>
      </c>
      <c r="T595" s="66">
        <f t="shared" si="186"/>
        <v>0</v>
      </c>
      <c r="U595" s="66">
        <f t="shared" si="186"/>
        <v>0</v>
      </c>
      <c r="V595" s="66">
        <f t="shared" si="186"/>
        <v>0</v>
      </c>
      <c r="W595" s="66">
        <f t="shared" si="186"/>
        <v>0</v>
      </c>
      <c r="X595" s="375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51"/>
      <c r="B596" s="378" t="s">
        <v>220</v>
      </c>
      <c r="C596" s="371">
        <v>2024</v>
      </c>
      <c r="D596" s="371">
        <v>2025</v>
      </c>
      <c r="E596" s="360" t="s">
        <v>258</v>
      </c>
      <c r="F596" s="571">
        <f>X596</f>
        <v>0</v>
      </c>
      <c r="G596" s="352">
        <v>70005</v>
      </c>
      <c r="H596" s="200">
        <v>6050</v>
      </c>
      <c r="I596" s="155" t="s">
        <v>28</v>
      </c>
      <c r="J596" s="187">
        <v>383053</v>
      </c>
      <c r="K596" s="187"/>
      <c r="L596" s="187"/>
      <c r="M596" s="156"/>
      <c r="N596" s="222">
        <v>0</v>
      </c>
      <c r="O596" s="187"/>
      <c r="P596" s="187"/>
      <c r="Q596" s="187"/>
      <c r="R596" s="187"/>
      <c r="S596" s="187"/>
      <c r="T596" s="187"/>
      <c r="U596" s="187"/>
      <c r="V596" s="187"/>
      <c r="W596" s="187"/>
      <c r="X596" s="375">
        <f>SUM(L600:W600)</f>
        <v>0</v>
      </c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51"/>
      <c r="B597" s="378"/>
      <c r="C597" s="371"/>
      <c r="D597" s="371"/>
      <c r="E597" s="360"/>
      <c r="F597" s="571"/>
      <c r="G597" s="352"/>
      <c r="H597" s="200"/>
      <c r="I597" s="155" t="s">
        <v>31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75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51"/>
      <c r="B598" s="378"/>
      <c r="C598" s="371"/>
      <c r="D598" s="371"/>
      <c r="E598" s="360"/>
      <c r="F598" s="571"/>
      <c r="G598" s="352"/>
      <c r="H598" s="200"/>
      <c r="I598" s="155" t="s">
        <v>30</v>
      </c>
      <c r="J598" s="187"/>
      <c r="K598" s="187"/>
      <c r="L598" s="187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375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51"/>
      <c r="B599" s="378"/>
      <c r="C599" s="371"/>
      <c r="D599" s="371"/>
      <c r="E599" s="360"/>
      <c r="F599" s="571"/>
      <c r="G599" s="352"/>
      <c r="H599" s="200"/>
      <c r="I599" s="155" t="s">
        <v>91</v>
      </c>
      <c r="J599" s="187"/>
      <c r="K599" s="187"/>
      <c r="L599" s="187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375"/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51"/>
      <c r="B600" s="378"/>
      <c r="C600" s="371"/>
      <c r="D600" s="371"/>
      <c r="E600" s="360"/>
      <c r="F600" s="571"/>
      <c r="G600" s="352"/>
      <c r="H600" s="200"/>
      <c r="I600" s="221" t="s">
        <v>26</v>
      </c>
      <c r="J600" s="162">
        <f>SUM(J596:J599)</f>
        <v>383053</v>
      </c>
      <c r="K600" s="162">
        <f t="shared" ref="K600:P600" si="187">SUM(K596:K599)</f>
        <v>0</v>
      </c>
      <c r="L600" s="162">
        <f t="shared" si="187"/>
        <v>0</v>
      </c>
      <c r="M600" s="162">
        <f t="shared" si="187"/>
        <v>0</v>
      </c>
      <c r="N600" s="162">
        <f t="shared" si="187"/>
        <v>0</v>
      </c>
      <c r="O600" s="162">
        <f t="shared" si="187"/>
        <v>0</v>
      </c>
      <c r="P600" s="162">
        <f t="shared" si="187"/>
        <v>0</v>
      </c>
      <c r="Q600" s="162"/>
      <c r="R600" s="162"/>
      <c r="S600" s="162"/>
      <c r="T600" s="162"/>
      <c r="U600" s="162"/>
      <c r="V600" s="162"/>
      <c r="W600" s="162"/>
      <c r="X600" s="375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51">
        <v>51</v>
      </c>
      <c r="B601" s="380" t="s">
        <v>76</v>
      </c>
      <c r="C601" s="428">
        <v>2018</v>
      </c>
      <c r="D601" s="428">
        <v>2024</v>
      </c>
      <c r="E601" s="360" t="s">
        <v>258</v>
      </c>
      <c r="F601" s="413">
        <v>0</v>
      </c>
      <c r="G601" s="418">
        <v>90013</v>
      </c>
      <c r="H601" s="104">
        <v>6060</v>
      </c>
      <c r="I601" s="105" t="s">
        <v>28</v>
      </c>
      <c r="J601" s="144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76">
        <f>SUM(J605:P605)</f>
        <v>0</v>
      </c>
      <c r="Y601" s="141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51"/>
      <c r="B602" s="380"/>
      <c r="C602" s="428"/>
      <c r="D602" s="428"/>
      <c r="E602" s="360"/>
      <c r="F602" s="413"/>
      <c r="G602" s="418"/>
      <c r="H602" s="104">
        <v>6610</v>
      </c>
      <c r="I602" s="105" t="s">
        <v>28</v>
      </c>
      <c r="J602" s="94">
        <v>0</v>
      </c>
      <c r="K602" s="93">
        <v>0</v>
      </c>
      <c r="L602" s="93">
        <v>0</v>
      </c>
      <c r="M602" s="93">
        <v>0</v>
      </c>
      <c r="N602" s="93">
        <v>0</v>
      </c>
      <c r="O602" s="93">
        <v>0</v>
      </c>
      <c r="P602" s="93"/>
      <c r="Q602" s="93"/>
      <c r="R602" s="93"/>
      <c r="S602" s="93"/>
      <c r="T602" s="93"/>
      <c r="U602" s="93"/>
      <c r="V602" s="93"/>
      <c r="W602" s="93"/>
      <c r="X602" s="376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5.75" hidden="1" customHeight="1">
      <c r="A603" s="351"/>
      <c r="B603" s="380"/>
      <c r="C603" s="428"/>
      <c r="D603" s="428"/>
      <c r="E603" s="360"/>
      <c r="F603" s="413"/>
      <c r="G603" s="418"/>
      <c r="H603" s="104"/>
      <c r="I603" s="105" t="s">
        <v>30</v>
      </c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376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5.75" hidden="1" customHeight="1">
      <c r="A604" s="351"/>
      <c r="B604" s="380"/>
      <c r="C604" s="428"/>
      <c r="D604" s="428"/>
      <c r="E604" s="360"/>
      <c r="F604" s="413"/>
      <c r="G604" s="418"/>
      <c r="H604" s="104"/>
      <c r="I604" s="105" t="s">
        <v>33</v>
      </c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376"/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9.75" hidden="1" customHeight="1">
      <c r="A605" s="351"/>
      <c r="B605" s="380"/>
      <c r="C605" s="428"/>
      <c r="D605" s="428"/>
      <c r="E605" s="360"/>
      <c r="F605" s="413"/>
      <c r="G605" s="418"/>
      <c r="H605" s="104"/>
      <c r="I605" s="108" t="s">
        <v>26</v>
      </c>
      <c r="J605" s="102">
        <f>SUM(J601:J604)</f>
        <v>0</v>
      </c>
      <c r="K605" s="102">
        <f t="shared" ref="K605:P605" si="188">SUM(K601:K604)</f>
        <v>0</v>
      </c>
      <c r="L605" s="102">
        <f t="shared" si="188"/>
        <v>0</v>
      </c>
      <c r="M605" s="102">
        <f t="shared" si="188"/>
        <v>0</v>
      </c>
      <c r="N605" s="102">
        <f t="shared" si="188"/>
        <v>0</v>
      </c>
      <c r="O605" s="102">
        <f t="shared" si="188"/>
        <v>0</v>
      </c>
      <c r="P605" s="102">
        <f t="shared" si="188"/>
        <v>0</v>
      </c>
      <c r="Q605" s="102"/>
      <c r="R605" s="102"/>
      <c r="S605" s="102"/>
      <c r="T605" s="102"/>
      <c r="U605" s="102"/>
      <c r="V605" s="102"/>
      <c r="W605" s="102"/>
      <c r="X605" s="376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6.5" hidden="1" customHeight="1">
      <c r="A606" s="351">
        <v>39</v>
      </c>
      <c r="B606" s="378" t="s">
        <v>196</v>
      </c>
      <c r="C606" s="355">
        <v>2024</v>
      </c>
      <c r="D606" s="355">
        <v>2024</v>
      </c>
      <c r="E606" s="360" t="s">
        <v>258</v>
      </c>
      <c r="F606" s="368">
        <f>X606</f>
        <v>0</v>
      </c>
      <c r="G606" s="354">
        <v>70007</v>
      </c>
      <c r="H606" s="90">
        <v>6050</v>
      </c>
      <c r="I606" s="61" t="s">
        <v>28</v>
      </c>
      <c r="J606" s="62"/>
      <c r="K606" s="62"/>
      <c r="L606" s="87"/>
      <c r="M606" s="87"/>
      <c r="N606" s="87"/>
      <c r="O606" s="87"/>
      <c r="P606" s="71"/>
      <c r="Q606" s="71"/>
      <c r="R606" s="71"/>
      <c r="S606" s="71"/>
      <c r="T606" s="71"/>
      <c r="U606" s="71"/>
      <c r="V606" s="71"/>
      <c r="W606" s="71"/>
      <c r="X606" s="375">
        <f>SUM(L610:P610)</f>
        <v>0</v>
      </c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" hidden="1" customHeight="1">
      <c r="A607" s="351"/>
      <c r="B607" s="378"/>
      <c r="C607" s="355"/>
      <c r="D607" s="355"/>
      <c r="E607" s="360"/>
      <c r="F607" s="368"/>
      <c r="G607" s="354"/>
      <c r="H607" s="90"/>
      <c r="I607" s="61" t="s">
        <v>31</v>
      </c>
      <c r="J607" s="62"/>
      <c r="K607" s="62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75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3.5" hidden="1" customHeight="1">
      <c r="A608" s="351"/>
      <c r="B608" s="378"/>
      <c r="C608" s="355"/>
      <c r="D608" s="355"/>
      <c r="E608" s="360"/>
      <c r="F608" s="368"/>
      <c r="G608" s="354"/>
      <c r="H608" s="90"/>
      <c r="I608" s="61" t="s">
        <v>30</v>
      </c>
      <c r="J608" s="62"/>
      <c r="K608" s="62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375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5" hidden="1" customHeight="1">
      <c r="A609" s="351"/>
      <c r="B609" s="378"/>
      <c r="C609" s="355"/>
      <c r="D609" s="355"/>
      <c r="E609" s="360"/>
      <c r="F609" s="368"/>
      <c r="G609" s="354"/>
      <c r="H609" s="90"/>
      <c r="I609" s="61" t="s">
        <v>173</v>
      </c>
      <c r="J609" s="62"/>
      <c r="K609" s="62"/>
      <c r="L609" s="71">
        <v>0</v>
      </c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375"/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4.25" hidden="1" customHeight="1">
      <c r="A610" s="351"/>
      <c r="B610" s="378"/>
      <c r="C610" s="355"/>
      <c r="D610" s="355"/>
      <c r="E610" s="360"/>
      <c r="F610" s="368"/>
      <c r="G610" s="354"/>
      <c r="H610" s="90"/>
      <c r="I610" s="64" t="s">
        <v>26</v>
      </c>
      <c r="J610" s="65"/>
      <c r="K610" s="65"/>
      <c r="L610" s="65">
        <f>SUM(L606:L609)</f>
        <v>0</v>
      </c>
      <c r="M610" s="65">
        <f>SUM(M606:M609)</f>
        <v>0</v>
      </c>
      <c r="N610" s="65">
        <f>SUM(N606:N609)</f>
        <v>0</v>
      </c>
      <c r="O610" s="65">
        <f>SUM(O606:O609)</f>
        <v>0</v>
      </c>
      <c r="P610" s="65">
        <f>SUM(P606:P609)</f>
        <v>0</v>
      </c>
      <c r="Q610" s="65"/>
      <c r="R610" s="65"/>
      <c r="S610" s="65"/>
      <c r="T610" s="65"/>
      <c r="U610" s="65"/>
      <c r="V610" s="65"/>
      <c r="W610" s="65"/>
      <c r="X610" s="375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51">
        <v>40</v>
      </c>
      <c r="B611" s="380" t="s">
        <v>174</v>
      </c>
      <c r="C611" s="388">
        <v>2020</v>
      </c>
      <c r="D611" s="355">
        <v>2023</v>
      </c>
      <c r="E611" s="360" t="s">
        <v>258</v>
      </c>
      <c r="F611" s="368"/>
      <c r="G611" s="354">
        <v>70007</v>
      </c>
      <c r="H611" s="89">
        <v>6050</v>
      </c>
      <c r="I611" s="60" t="s">
        <v>28</v>
      </c>
      <c r="J611" s="65"/>
      <c r="K611" s="65"/>
      <c r="L611" s="87"/>
      <c r="M611" s="87"/>
      <c r="N611" s="87"/>
      <c r="O611" s="77"/>
      <c r="P611" s="70"/>
      <c r="Q611" s="70"/>
      <c r="R611" s="70"/>
      <c r="S611" s="70"/>
      <c r="T611" s="70"/>
      <c r="U611" s="70"/>
      <c r="V611" s="70"/>
      <c r="W611" s="70"/>
      <c r="X611" s="375">
        <f>SUM(L615:P615)</f>
        <v>0</v>
      </c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51"/>
      <c r="B612" s="380"/>
      <c r="C612" s="388"/>
      <c r="D612" s="355"/>
      <c r="E612" s="360"/>
      <c r="F612" s="368"/>
      <c r="G612" s="354"/>
      <c r="H612" s="89"/>
      <c r="I612" s="60" t="s">
        <v>31</v>
      </c>
      <c r="J612" s="65"/>
      <c r="K612" s="65"/>
      <c r="L612" s="70"/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75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.75" hidden="1" customHeight="1">
      <c r="A613" s="351"/>
      <c r="B613" s="380"/>
      <c r="C613" s="388"/>
      <c r="D613" s="355"/>
      <c r="E613" s="360"/>
      <c r="F613" s="368"/>
      <c r="G613" s="354"/>
      <c r="H613" s="89"/>
      <c r="I613" s="60" t="s">
        <v>30</v>
      </c>
      <c r="J613" s="65"/>
      <c r="K613" s="65"/>
      <c r="L613" s="71"/>
      <c r="M613" s="71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375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hidden="1" customHeight="1">
      <c r="A614" s="351"/>
      <c r="B614" s="380"/>
      <c r="C614" s="388"/>
      <c r="D614" s="355"/>
      <c r="E614" s="360"/>
      <c r="F614" s="368"/>
      <c r="G614" s="354"/>
      <c r="H614" s="89"/>
      <c r="I614" s="61" t="s">
        <v>173</v>
      </c>
      <c r="J614" s="62"/>
      <c r="K614" s="62"/>
      <c r="L614" s="71">
        <v>0</v>
      </c>
      <c r="M614" s="71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375"/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" hidden="1" customHeight="1">
      <c r="A615" s="351"/>
      <c r="B615" s="380"/>
      <c r="C615" s="388"/>
      <c r="D615" s="355"/>
      <c r="E615" s="360"/>
      <c r="F615" s="368"/>
      <c r="G615" s="354"/>
      <c r="H615" s="89"/>
      <c r="I615" s="72" t="s">
        <v>26</v>
      </c>
      <c r="J615" s="65"/>
      <c r="K615" s="65"/>
      <c r="L615" s="66">
        <f>SUM(L611:L614)</f>
        <v>0</v>
      </c>
      <c r="M615" s="66">
        <f>SUM(M611:M614)</f>
        <v>0</v>
      </c>
      <c r="N615" s="65">
        <f>SUM(N611:N614)</f>
        <v>0</v>
      </c>
      <c r="O615" s="66">
        <f>SUM(O611:O614)</f>
        <v>0</v>
      </c>
      <c r="P615" s="66">
        <f>SUM(P611:P614)</f>
        <v>0</v>
      </c>
      <c r="Q615" s="66"/>
      <c r="R615" s="66"/>
      <c r="S615" s="66"/>
      <c r="T615" s="66"/>
      <c r="U615" s="66"/>
      <c r="V615" s="66"/>
      <c r="W615" s="66"/>
      <c r="X615" s="375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51">
        <v>45</v>
      </c>
      <c r="B616" s="378" t="s">
        <v>187</v>
      </c>
      <c r="C616" s="355">
        <v>2023</v>
      </c>
      <c r="D616" s="355">
        <v>2025</v>
      </c>
      <c r="E616" s="360" t="s">
        <v>258</v>
      </c>
      <c r="F616" s="368">
        <f>240000+X616+1276230</f>
        <v>2794668</v>
      </c>
      <c r="G616" s="354">
        <v>70007</v>
      </c>
      <c r="H616" s="90">
        <v>6050</v>
      </c>
      <c r="I616" s="60" t="s">
        <v>28</v>
      </c>
      <c r="J616" s="65"/>
      <c r="K616" s="65"/>
      <c r="L616" s="87"/>
      <c r="M616" s="325"/>
      <c r="N616" s="87">
        <v>298438</v>
      </c>
      <c r="O616" s="77"/>
      <c r="P616" s="70"/>
      <c r="Q616" s="70"/>
      <c r="R616" s="70"/>
      <c r="S616" s="70"/>
      <c r="T616" s="70"/>
      <c r="U616" s="70"/>
      <c r="V616" s="70"/>
      <c r="W616" s="70"/>
      <c r="X616" s="375">
        <f>SUM(L620:W620)</f>
        <v>1278438</v>
      </c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51"/>
      <c r="B617" s="378"/>
      <c r="C617" s="355"/>
      <c r="D617" s="355"/>
      <c r="E617" s="360"/>
      <c r="F617" s="368"/>
      <c r="G617" s="354"/>
      <c r="H617" s="90"/>
      <c r="I617" s="60" t="s">
        <v>31</v>
      </c>
      <c r="J617" s="65"/>
      <c r="K617" s="65"/>
      <c r="L617" s="70"/>
      <c r="M617" s="71"/>
      <c r="N617" s="71"/>
      <c r="O617" s="70"/>
      <c r="P617" s="70"/>
      <c r="Q617" s="70"/>
      <c r="R617" s="70"/>
      <c r="S617" s="70"/>
      <c r="T617" s="70"/>
      <c r="U617" s="70"/>
      <c r="V617" s="70"/>
      <c r="W617" s="70"/>
      <c r="X617" s="375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.75" customHeight="1">
      <c r="A618" s="351"/>
      <c r="B618" s="378"/>
      <c r="C618" s="355"/>
      <c r="D618" s="355"/>
      <c r="E618" s="360"/>
      <c r="F618" s="368"/>
      <c r="G618" s="354"/>
      <c r="H618" s="90"/>
      <c r="I618" s="60" t="s">
        <v>30</v>
      </c>
      <c r="J618" s="65"/>
      <c r="K618" s="65"/>
      <c r="L618" s="71"/>
      <c r="M618" s="71"/>
      <c r="N618" s="71"/>
      <c r="O618" s="70"/>
      <c r="P618" s="70"/>
      <c r="Q618" s="70"/>
      <c r="R618" s="70"/>
      <c r="S618" s="70"/>
      <c r="T618" s="70"/>
      <c r="U618" s="70"/>
      <c r="V618" s="70"/>
      <c r="W618" s="70"/>
      <c r="X618" s="375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51"/>
      <c r="B619" s="378"/>
      <c r="C619" s="355"/>
      <c r="D619" s="355"/>
      <c r="E619" s="360"/>
      <c r="F619" s="368"/>
      <c r="G619" s="354"/>
      <c r="H619" s="90">
        <v>6370</v>
      </c>
      <c r="I619" s="61" t="s">
        <v>188</v>
      </c>
      <c r="J619" s="62"/>
      <c r="K619" s="62"/>
      <c r="L619" s="71">
        <v>0</v>
      </c>
      <c r="M619" s="325"/>
      <c r="N619" s="87">
        <v>980000</v>
      </c>
      <c r="O619" s="70"/>
      <c r="P619" s="70"/>
      <c r="Q619" s="70"/>
      <c r="R619" s="70"/>
      <c r="S619" s="70"/>
      <c r="T619" s="70"/>
      <c r="U619" s="70"/>
      <c r="V619" s="70"/>
      <c r="W619" s="70"/>
      <c r="X619" s="375"/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12" customHeight="1">
      <c r="A620" s="351"/>
      <c r="B620" s="378"/>
      <c r="C620" s="355"/>
      <c r="D620" s="355"/>
      <c r="E620" s="360"/>
      <c r="F620" s="368"/>
      <c r="G620" s="354"/>
      <c r="H620" s="90"/>
      <c r="I620" s="72" t="s">
        <v>26</v>
      </c>
      <c r="J620" s="65"/>
      <c r="K620" s="65"/>
      <c r="L620" s="66">
        <f>SUM(L616:L619)</f>
        <v>0</v>
      </c>
      <c r="M620" s="66">
        <f>SUM(M616:M619)</f>
        <v>0</v>
      </c>
      <c r="N620" s="65">
        <f>SUM(N616:N619)</f>
        <v>1278438</v>
      </c>
      <c r="O620" s="66">
        <f>SUM(O616:O619)</f>
        <v>0</v>
      </c>
      <c r="P620" s="66">
        <f>SUM(P616:P619)</f>
        <v>0</v>
      </c>
      <c r="Q620" s="66"/>
      <c r="R620" s="66"/>
      <c r="S620" s="66"/>
      <c r="T620" s="66"/>
      <c r="U620" s="66"/>
      <c r="V620" s="66"/>
      <c r="W620" s="66"/>
      <c r="X620" s="375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51">
        <v>46</v>
      </c>
      <c r="B621" s="390" t="s">
        <v>236</v>
      </c>
      <c r="C621" s="355">
        <v>2020</v>
      </c>
      <c r="D621" s="355">
        <v>2030</v>
      </c>
      <c r="E621" s="360" t="s">
        <v>258</v>
      </c>
      <c r="F621" s="368">
        <f>7543278+X621</f>
        <v>8843278</v>
      </c>
      <c r="G621" s="354">
        <v>75023</v>
      </c>
      <c r="H621" s="90">
        <v>6050</v>
      </c>
      <c r="I621" s="60" t="s">
        <v>28</v>
      </c>
      <c r="J621" s="65"/>
      <c r="K621" s="65"/>
      <c r="L621" s="87"/>
      <c r="M621" s="87"/>
      <c r="N621" s="87"/>
      <c r="O621" s="77"/>
      <c r="R621" s="87">
        <v>800000</v>
      </c>
      <c r="S621" s="87">
        <v>500000</v>
      </c>
      <c r="T621" s="71"/>
      <c r="U621" s="70"/>
      <c r="V621" s="70"/>
      <c r="W621" s="70"/>
      <c r="X621" s="375">
        <f>SUM(L625:W625)</f>
        <v>1300000</v>
      </c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51"/>
      <c r="B622" s="390"/>
      <c r="C622" s="355"/>
      <c r="D622" s="355"/>
      <c r="E622" s="360"/>
      <c r="F622" s="368"/>
      <c r="G622" s="354"/>
      <c r="H622" s="90"/>
      <c r="I622" s="60" t="s">
        <v>171</v>
      </c>
      <c r="J622" s="65"/>
      <c r="K622" s="65"/>
      <c r="L622" s="87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75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.75" customHeight="1">
      <c r="A623" s="351"/>
      <c r="B623" s="390"/>
      <c r="C623" s="355"/>
      <c r="D623" s="355"/>
      <c r="E623" s="360"/>
      <c r="F623" s="368"/>
      <c r="G623" s="354"/>
      <c r="H623" s="90"/>
      <c r="I623" s="60" t="s">
        <v>30</v>
      </c>
      <c r="J623" s="65"/>
      <c r="K623" s="65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375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.75" customHeight="1">
      <c r="A624" s="351"/>
      <c r="B624" s="390"/>
      <c r="C624" s="355"/>
      <c r="D624" s="355"/>
      <c r="E624" s="360"/>
      <c r="F624" s="368"/>
      <c r="G624" s="354"/>
      <c r="H624" s="90"/>
      <c r="I624" s="60" t="s">
        <v>33</v>
      </c>
      <c r="J624" s="65"/>
      <c r="K624" s="65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375"/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12" customHeight="1">
      <c r="A625" s="351"/>
      <c r="B625" s="390"/>
      <c r="C625" s="355"/>
      <c r="D625" s="355"/>
      <c r="E625" s="360"/>
      <c r="F625" s="368"/>
      <c r="G625" s="354"/>
      <c r="H625" s="90"/>
      <c r="I625" s="72" t="s">
        <v>26</v>
      </c>
      <c r="J625" s="65"/>
      <c r="K625" s="65"/>
      <c r="L625" s="66">
        <f>SUM(L621:L624)</f>
        <v>0</v>
      </c>
      <c r="M625" s="66">
        <f>SUM(M621:M624)</f>
        <v>0</v>
      </c>
      <c r="N625" s="65">
        <f t="shared" ref="N625:S625" si="189">SUM(N621:N624)</f>
        <v>0</v>
      </c>
      <c r="O625" s="66">
        <f t="shared" si="189"/>
        <v>0</v>
      </c>
      <c r="P625" s="66">
        <f t="shared" si="189"/>
        <v>0</v>
      </c>
      <c r="Q625" s="66">
        <f t="shared" si="189"/>
        <v>0</v>
      </c>
      <c r="R625" s="66">
        <f t="shared" si="189"/>
        <v>800000</v>
      </c>
      <c r="S625" s="66">
        <f t="shared" si="189"/>
        <v>500000</v>
      </c>
      <c r="T625" s="66"/>
      <c r="U625" s="66"/>
      <c r="V625" s="66"/>
      <c r="W625" s="66"/>
      <c r="X625" s="375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hidden="1" customHeight="1">
      <c r="A626" s="351">
        <v>47</v>
      </c>
      <c r="B626" s="378" t="s">
        <v>251</v>
      </c>
      <c r="C626" s="355">
        <v>2024</v>
      </c>
      <c r="D626" s="355">
        <v>2026</v>
      </c>
      <c r="E626" s="360" t="s">
        <v>258</v>
      </c>
      <c r="F626" s="368">
        <f>X626</f>
        <v>0</v>
      </c>
      <c r="G626" s="354">
        <v>75495</v>
      </c>
      <c r="H626" s="90">
        <v>6050</v>
      </c>
      <c r="I626" s="61" t="s">
        <v>28</v>
      </c>
      <c r="J626" s="62"/>
      <c r="K626" s="62"/>
      <c r="L626" s="87">
        <v>0</v>
      </c>
      <c r="M626" s="87"/>
      <c r="N626" s="87">
        <v>0</v>
      </c>
      <c r="O626" s="87">
        <v>0</v>
      </c>
      <c r="P626" s="71"/>
      <c r="Q626" s="71"/>
      <c r="R626" s="87">
        <v>0</v>
      </c>
      <c r="S626" s="71"/>
      <c r="T626" s="71"/>
      <c r="U626" s="71"/>
      <c r="V626" s="71"/>
      <c r="W626" s="71"/>
      <c r="X626" s="430">
        <f>SUM(L630:W630)</f>
        <v>0</v>
      </c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5.75" hidden="1" customHeight="1">
      <c r="A627" s="351"/>
      <c r="B627" s="378"/>
      <c r="C627" s="355"/>
      <c r="D627" s="355"/>
      <c r="E627" s="360"/>
      <c r="F627" s="368"/>
      <c r="G627" s="354"/>
      <c r="H627" s="90"/>
      <c r="I627" s="61" t="s">
        <v>31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430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8.25" hidden="1" customHeight="1">
      <c r="A628" s="351"/>
      <c r="B628" s="378"/>
      <c r="C628" s="355"/>
      <c r="D628" s="355"/>
      <c r="E628" s="360"/>
      <c r="F628" s="368"/>
      <c r="G628" s="354"/>
      <c r="H628" s="90"/>
      <c r="I628" s="61" t="s">
        <v>30</v>
      </c>
      <c r="J628" s="62"/>
      <c r="K628" s="62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430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hidden="1" customHeight="1">
      <c r="A629" s="351"/>
      <c r="B629" s="378"/>
      <c r="C629" s="355"/>
      <c r="D629" s="355"/>
      <c r="E629" s="360"/>
      <c r="F629" s="368"/>
      <c r="G629" s="354"/>
      <c r="H629" s="90"/>
      <c r="I629" s="61" t="s">
        <v>33</v>
      </c>
      <c r="J629" s="62"/>
      <c r="K629" s="62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430"/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hidden="1" customHeight="1">
      <c r="A630" s="351"/>
      <c r="B630" s="378"/>
      <c r="C630" s="355"/>
      <c r="D630" s="355"/>
      <c r="E630" s="360"/>
      <c r="F630" s="368"/>
      <c r="G630" s="354"/>
      <c r="H630" s="90"/>
      <c r="I630" s="64" t="s">
        <v>26</v>
      </c>
      <c r="J630" s="65"/>
      <c r="K630" s="65"/>
      <c r="L630" s="65">
        <f>SUM(L626:L629)</f>
        <v>0</v>
      </c>
      <c r="M630" s="65">
        <f>SUM(M626:M629)</f>
        <v>0</v>
      </c>
      <c r="N630" s="65">
        <f t="shared" ref="N630:W630" si="190">SUM(N626:N629)</f>
        <v>0</v>
      </c>
      <c r="O630" s="65">
        <f t="shared" si="190"/>
        <v>0</v>
      </c>
      <c r="P630" s="65">
        <f t="shared" si="190"/>
        <v>0</v>
      </c>
      <c r="Q630" s="65">
        <f t="shared" si="190"/>
        <v>0</v>
      </c>
      <c r="R630" s="65">
        <f t="shared" si="190"/>
        <v>0</v>
      </c>
      <c r="S630" s="65">
        <f t="shared" si="190"/>
        <v>0</v>
      </c>
      <c r="T630" s="65">
        <f t="shared" si="190"/>
        <v>0</v>
      </c>
      <c r="U630" s="65">
        <f t="shared" si="190"/>
        <v>0</v>
      </c>
      <c r="V630" s="65">
        <f t="shared" si="190"/>
        <v>0</v>
      </c>
      <c r="W630" s="65">
        <f t="shared" si="190"/>
        <v>0</v>
      </c>
      <c r="X630" s="430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customHeight="1">
      <c r="A631" s="351">
        <v>47</v>
      </c>
      <c r="B631" s="378" t="s">
        <v>221</v>
      </c>
      <c r="C631" s="388">
        <v>2025</v>
      </c>
      <c r="D631" s="355">
        <v>2026</v>
      </c>
      <c r="E631" s="360" t="s">
        <v>258</v>
      </c>
      <c r="F631" s="368">
        <f>44273+X631+2200-46473</f>
        <v>15000</v>
      </c>
      <c r="G631" s="354">
        <v>90026</v>
      </c>
      <c r="H631" s="89">
        <v>6050</v>
      </c>
      <c r="I631" s="60" t="s">
        <v>28</v>
      </c>
      <c r="J631" s="65"/>
      <c r="K631" s="65"/>
      <c r="L631" s="87">
        <v>0</v>
      </c>
      <c r="M631" s="87"/>
      <c r="N631" s="87">
        <v>15000</v>
      </c>
      <c r="O631" s="87">
        <v>0</v>
      </c>
      <c r="P631" s="71">
        <v>0</v>
      </c>
      <c r="Q631" s="70"/>
      <c r="R631" s="87"/>
      <c r="S631" s="70"/>
      <c r="T631" s="70"/>
      <c r="U631" s="70"/>
      <c r="V631" s="70"/>
      <c r="W631" s="70"/>
      <c r="X631" s="375">
        <f>SUM(L635:W635)</f>
        <v>15000</v>
      </c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customHeight="1">
      <c r="A632" s="351"/>
      <c r="B632" s="378"/>
      <c r="C632" s="388"/>
      <c r="D632" s="355"/>
      <c r="E632" s="360"/>
      <c r="F632" s="368"/>
      <c r="G632" s="354"/>
      <c r="H632" s="89"/>
      <c r="I632" s="60" t="s">
        <v>31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75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customHeight="1">
      <c r="A633" s="351"/>
      <c r="B633" s="378"/>
      <c r="C633" s="388"/>
      <c r="D633" s="355"/>
      <c r="E633" s="360"/>
      <c r="F633" s="368"/>
      <c r="G633" s="354"/>
      <c r="H633" s="89"/>
      <c r="I633" s="60" t="s">
        <v>30</v>
      </c>
      <c r="J633" s="65"/>
      <c r="K633" s="65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375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" customHeight="1">
      <c r="A634" s="351"/>
      <c r="B634" s="378"/>
      <c r="C634" s="388"/>
      <c r="D634" s="355"/>
      <c r="E634" s="360"/>
      <c r="F634" s="368"/>
      <c r="G634" s="354"/>
      <c r="H634" s="89"/>
      <c r="I634" s="60" t="s">
        <v>33</v>
      </c>
      <c r="J634" s="65"/>
      <c r="K634" s="65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375"/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12" customHeight="1">
      <c r="A635" s="351"/>
      <c r="B635" s="378"/>
      <c r="C635" s="388"/>
      <c r="D635" s="355"/>
      <c r="E635" s="360"/>
      <c r="F635" s="368"/>
      <c r="G635" s="354"/>
      <c r="H635" s="89"/>
      <c r="I635" s="72" t="s">
        <v>26</v>
      </c>
      <c r="J635" s="65"/>
      <c r="K635" s="65"/>
      <c r="L635" s="65">
        <f>SUM(L631:L634)</f>
        <v>0</v>
      </c>
      <c r="M635" s="66">
        <f>SUM(M631:M634)</f>
        <v>0</v>
      </c>
      <c r="N635" s="65">
        <f t="shared" ref="N635:W635" si="191">SUM(N631:N634)</f>
        <v>15000</v>
      </c>
      <c r="O635" s="66">
        <f t="shared" si="191"/>
        <v>0</v>
      </c>
      <c r="P635" s="66">
        <f t="shared" si="191"/>
        <v>0</v>
      </c>
      <c r="Q635" s="66">
        <f t="shared" si="191"/>
        <v>0</v>
      </c>
      <c r="R635" s="66">
        <f t="shared" si="191"/>
        <v>0</v>
      </c>
      <c r="S635" s="66">
        <f t="shared" si="191"/>
        <v>0</v>
      </c>
      <c r="T635" s="66">
        <f t="shared" si="191"/>
        <v>0</v>
      </c>
      <c r="U635" s="66">
        <f t="shared" si="191"/>
        <v>0</v>
      </c>
      <c r="V635" s="66">
        <f t="shared" si="191"/>
        <v>0</v>
      </c>
      <c r="W635" s="66">
        <f t="shared" si="191"/>
        <v>0</v>
      </c>
      <c r="X635" s="375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customHeight="1">
      <c r="A636" s="365">
        <v>48</v>
      </c>
      <c r="B636" s="525" t="s">
        <v>260</v>
      </c>
      <c r="C636" s="425">
        <v>2025</v>
      </c>
      <c r="D636" s="355">
        <v>2026</v>
      </c>
      <c r="E636" s="360" t="s">
        <v>258</v>
      </c>
      <c r="F636" s="368">
        <f>X636</f>
        <v>70000</v>
      </c>
      <c r="G636" s="422">
        <v>80101</v>
      </c>
      <c r="H636" s="90">
        <v>6050</v>
      </c>
      <c r="I636" s="61" t="s">
        <v>28</v>
      </c>
      <c r="J636" s="62"/>
      <c r="K636" s="62"/>
      <c r="L636" s="87"/>
      <c r="M636" s="87"/>
      <c r="N636" s="87">
        <v>1000</v>
      </c>
      <c r="O636" s="87">
        <v>69000</v>
      </c>
      <c r="P636" s="71"/>
      <c r="Q636" s="71"/>
      <c r="R636" s="71"/>
      <c r="S636" s="71"/>
      <c r="T636" s="71"/>
      <c r="U636" s="71"/>
      <c r="V636" s="71"/>
      <c r="W636" s="71"/>
      <c r="X636" s="375">
        <f>SUM(L640:P640)</f>
        <v>70000</v>
      </c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customHeight="1">
      <c r="A637" s="366"/>
      <c r="B637" s="526"/>
      <c r="C637" s="426"/>
      <c r="D637" s="355"/>
      <c r="E637" s="360"/>
      <c r="F637" s="368"/>
      <c r="G637" s="423"/>
      <c r="H637" s="90"/>
      <c r="I637" s="61" t="s">
        <v>28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75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.75" customHeight="1">
      <c r="A638" s="366"/>
      <c r="B638" s="526"/>
      <c r="C638" s="426"/>
      <c r="D638" s="355"/>
      <c r="E638" s="360"/>
      <c r="F638" s="368"/>
      <c r="G638" s="423"/>
      <c r="H638" s="90"/>
      <c r="I638" s="61" t="s">
        <v>30</v>
      </c>
      <c r="J638" s="62"/>
      <c r="K638" s="62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375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12.75" customHeight="1">
      <c r="A639" s="366"/>
      <c r="B639" s="526"/>
      <c r="C639" s="426"/>
      <c r="D639" s="355"/>
      <c r="E639" s="360"/>
      <c r="F639" s="368"/>
      <c r="G639" s="423"/>
      <c r="H639" s="90"/>
      <c r="I639" s="61" t="s">
        <v>33</v>
      </c>
      <c r="J639" s="62"/>
      <c r="K639" s="62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375"/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1.25" customHeight="1">
      <c r="A640" s="367"/>
      <c r="B640" s="527"/>
      <c r="C640" s="427"/>
      <c r="D640" s="355"/>
      <c r="E640" s="360"/>
      <c r="F640" s="368"/>
      <c r="G640" s="424"/>
      <c r="H640" s="90"/>
      <c r="I640" s="64" t="s">
        <v>26</v>
      </c>
      <c r="J640" s="65"/>
      <c r="K640" s="65"/>
      <c r="L640" s="65">
        <f>SUM(L636:L639)</f>
        <v>0</v>
      </c>
      <c r="M640" s="65">
        <f>SUM(M636:M639)</f>
        <v>0</v>
      </c>
      <c r="N640" s="65">
        <f t="shared" ref="N640:P640" si="192">SUM(N636:N639)</f>
        <v>1000</v>
      </c>
      <c r="O640" s="65">
        <f t="shared" si="192"/>
        <v>69000</v>
      </c>
      <c r="P640" s="65">
        <f t="shared" si="192"/>
        <v>0</v>
      </c>
      <c r="Q640" s="65"/>
      <c r="R640" s="65"/>
      <c r="S640" s="65"/>
      <c r="T640" s="65"/>
      <c r="U640" s="65"/>
      <c r="V640" s="65"/>
      <c r="W640" s="65"/>
      <c r="X640" s="375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6.5" hidden="1" customHeight="1">
      <c r="A641" s="365">
        <v>53</v>
      </c>
      <c r="B641" s="525" t="s">
        <v>175</v>
      </c>
      <c r="C641" s="425">
        <v>2020</v>
      </c>
      <c r="D641" s="355">
        <v>2024</v>
      </c>
      <c r="E641" s="360" t="s">
        <v>258</v>
      </c>
      <c r="F641" s="368">
        <f>X641</f>
        <v>0</v>
      </c>
      <c r="G641" s="422">
        <v>80101</v>
      </c>
      <c r="H641" s="90">
        <v>6050</v>
      </c>
      <c r="I641" s="61" t="s">
        <v>131</v>
      </c>
      <c r="J641" s="62"/>
      <c r="K641" s="62"/>
      <c r="L641" s="87"/>
      <c r="M641" s="87"/>
      <c r="N641" s="87"/>
      <c r="O641" s="87"/>
      <c r="P641" s="71"/>
      <c r="Q641" s="71"/>
      <c r="R641" s="71"/>
      <c r="S641" s="71"/>
      <c r="T641" s="71"/>
      <c r="U641" s="71"/>
      <c r="V641" s="71"/>
      <c r="W641" s="71"/>
      <c r="X641" s="375">
        <f>SUM(L645:P645)</f>
        <v>0</v>
      </c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66"/>
      <c r="B642" s="526"/>
      <c r="C642" s="426"/>
      <c r="D642" s="355"/>
      <c r="E642" s="360"/>
      <c r="F642" s="368"/>
      <c r="G642" s="423"/>
      <c r="H642" s="90"/>
      <c r="I642" s="61" t="s">
        <v>28</v>
      </c>
      <c r="J642" s="62"/>
      <c r="K642" s="62"/>
      <c r="L642" s="87"/>
      <c r="M642" s="87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75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66"/>
      <c r="B643" s="526"/>
      <c r="C643" s="426"/>
      <c r="D643" s="355"/>
      <c r="E643" s="360"/>
      <c r="F643" s="368"/>
      <c r="G643" s="423"/>
      <c r="H643" s="90"/>
      <c r="I643" s="61" t="s">
        <v>31</v>
      </c>
      <c r="J643" s="62"/>
      <c r="K643" s="62"/>
      <c r="L643" s="87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375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2" hidden="1" customHeight="1">
      <c r="A644" s="366"/>
      <c r="B644" s="526"/>
      <c r="C644" s="426"/>
      <c r="D644" s="355"/>
      <c r="E644" s="360"/>
      <c r="F644" s="368"/>
      <c r="G644" s="423"/>
      <c r="H644" s="90"/>
      <c r="I644" s="61" t="s">
        <v>130</v>
      </c>
      <c r="J644" s="62"/>
      <c r="K644" s="62"/>
      <c r="L644" s="87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375"/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2" hidden="1" customHeight="1">
      <c r="A645" s="367"/>
      <c r="B645" s="527"/>
      <c r="C645" s="427"/>
      <c r="D645" s="355"/>
      <c r="E645" s="360"/>
      <c r="F645" s="368"/>
      <c r="G645" s="424"/>
      <c r="H645" s="90"/>
      <c r="I645" s="64" t="s">
        <v>26</v>
      </c>
      <c r="J645" s="65"/>
      <c r="K645" s="65"/>
      <c r="L645" s="65">
        <f>SUM(L641:L644)</f>
        <v>0</v>
      </c>
      <c r="M645" s="65">
        <f>SUM(M641:M644)</f>
        <v>0</v>
      </c>
      <c r="N645" s="65">
        <f t="shared" ref="N645:P645" si="193">SUM(N641:N644)</f>
        <v>0</v>
      </c>
      <c r="O645" s="65">
        <f t="shared" si="193"/>
        <v>0</v>
      </c>
      <c r="P645" s="65">
        <f t="shared" si="193"/>
        <v>0</v>
      </c>
      <c r="Q645" s="65"/>
      <c r="R645" s="65"/>
      <c r="S645" s="65"/>
      <c r="T645" s="65"/>
      <c r="U645" s="65"/>
      <c r="V645" s="65"/>
      <c r="W645" s="65"/>
      <c r="X645" s="375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65">
        <v>49</v>
      </c>
      <c r="B646" s="525" t="s">
        <v>226</v>
      </c>
      <c r="C646" s="425">
        <v>2023</v>
      </c>
      <c r="D646" s="355">
        <v>2025</v>
      </c>
      <c r="E646" s="360" t="s">
        <v>258</v>
      </c>
      <c r="F646" s="414">
        <f>80000+X646+1379078</f>
        <v>3859078</v>
      </c>
      <c r="G646" s="422">
        <v>80101</v>
      </c>
      <c r="H646" s="301">
        <v>6050</v>
      </c>
      <c r="I646" s="61" t="s">
        <v>28</v>
      </c>
      <c r="J646" s="62"/>
      <c r="K646" s="62"/>
      <c r="L646" s="87"/>
      <c r="M646" s="323"/>
      <c r="N646" s="323">
        <v>545000</v>
      </c>
      <c r="O646" s="87"/>
      <c r="P646" s="71"/>
      <c r="Q646" s="71"/>
      <c r="R646" s="71"/>
      <c r="S646" s="71"/>
      <c r="T646" s="71"/>
      <c r="U646" s="71"/>
      <c r="V646" s="71"/>
      <c r="W646" s="71"/>
      <c r="X646" s="420">
        <f>SUM(L650:W650)</f>
        <v>2400000</v>
      </c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66"/>
      <c r="B647" s="526"/>
      <c r="C647" s="426"/>
      <c r="D647" s="355"/>
      <c r="E647" s="360"/>
      <c r="F647" s="414"/>
      <c r="G647" s="423"/>
      <c r="H647" s="302">
        <v>6370</v>
      </c>
      <c r="I647" s="61" t="s">
        <v>233</v>
      </c>
      <c r="J647" s="62"/>
      <c r="K647" s="62"/>
      <c r="L647" s="71"/>
      <c r="M647" s="164"/>
      <c r="N647" s="164">
        <v>1855000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420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3.5" customHeight="1">
      <c r="A648" s="366"/>
      <c r="B648" s="526"/>
      <c r="C648" s="426"/>
      <c r="D648" s="355"/>
      <c r="E648" s="360"/>
      <c r="F648" s="414"/>
      <c r="G648" s="423"/>
      <c r="H648" s="302"/>
      <c r="I648" s="61" t="s">
        <v>30</v>
      </c>
      <c r="J648" s="62"/>
      <c r="K648" s="62"/>
      <c r="L648" s="71"/>
      <c r="M648" s="169"/>
      <c r="N648" s="169"/>
      <c r="O648" s="71"/>
      <c r="P648" s="71"/>
      <c r="Q648" s="71"/>
      <c r="R648" s="71"/>
      <c r="S648" s="71"/>
      <c r="T648" s="71"/>
      <c r="U648" s="71"/>
      <c r="V648" s="71"/>
      <c r="W648" s="71"/>
      <c r="X648" s="420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3.5" customHeight="1">
      <c r="A649" s="366"/>
      <c r="B649" s="526"/>
      <c r="C649" s="426"/>
      <c r="D649" s="355"/>
      <c r="E649" s="360"/>
      <c r="F649" s="414"/>
      <c r="G649" s="423"/>
      <c r="H649" s="302"/>
      <c r="I649" s="61" t="s">
        <v>132</v>
      </c>
      <c r="J649" s="62"/>
      <c r="K649" s="62"/>
      <c r="L649" s="87"/>
      <c r="M649" s="169"/>
      <c r="N649" s="169"/>
      <c r="O649" s="71"/>
      <c r="P649" s="71"/>
      <c r="Q649" s="71"/>
      <c r="R649" s="71"/>
      <c r="S649" s="71"/>
      <c r="T649" s="71"/>
      <c r="U649" s="71"/>
      <c r="V649" s="71"/>
      <c r="W649" s="71"/>
      <c r="X649" s="420"/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12.75" customHeight="1">
      <c r="A650" s="367"/>
      <c r="B650" s="527"/>
      <c r="C650" s="427"/>
      <c r="D650" s="355"/>
      <c r="E650" s="360"/>
      <c r="F650" s="414"/>
      <c r="G650" s="424"/>
      <c r="H650" s="303"/>
      <c r="I650" s="295" t="s">
        <v>26</v>
      </c>
      <c r="J650" s="296"/>
      <c r="K650" s="296"/>
      <c r="L650" s="296">
        <f>SUM(L646:L649)</f>
        <v>0</v>
      </c>
      <c r="M650" s="216">
        <f>SUM(M646:M649)</f>
        <v>0</v>
      </c>
      <c r="N650" s="216">
        <f t="shared" ref="N650:P650" si="194">SUM(N646:N649)</f>
        <v>2400000</v>
      </c>
      <c r="O650" s="296">
        <f t="shared" si="194"/>
        <v>0</v>
      </c>
      <c r="P650" s="296">
        <f t="shared" si="194"/>
        <v>0</v>
      </c>
      <c r="Q650" s="296"/>
      <c r="R650" s="296"/>
      <c r="S650" s="296"/>
      <c r="T650" s="296"/>
      <c r="U650" s="296"/>
      <c r="V650" s="296"/>
      <c r="W650" s="296"/>
      <c r="X650" s="420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6.5" hidden="1" customHeight="1">
      <c r="A651" s="398">
        <v>46</v>
      </c>
      <c r="B651" s="534" t="s">
        <v>116</v>
      </c>
      <c r="C651" s="425">
        <v>2021</v>
      </c>
      <c r="D651" s="355">
        <v>2023</v>
      </c>
      <c r="E651" s="360" t="s">
        <v>258</v>
      </c>
      <c r="F651" s="414">
        <f>X651</f>
        <v>0</v>
      </c>
      <c r="G651" s="422">
        <v>80195</v>
      </c>
      <c r="H651" s="422">
        <v>6050</v>
      </c>
      <c r="I651" s="61" t="s">
        <v>28</v>
      </c>
      <c r="J651" s="62"/>
      <c r="K651" s="62"/>
      <c r="L651" s="87"/>
      <c r="M651" s="87"/>
      <c r="N651" s="87"/>
      <c r="O651" s="87"/>
      <c r="P651" s="71"/>
      <c r="Q651" s="71"/>
      <c r="R651" s="71"/>
      <c r="S651" s="71"/>
      <c r="T651" s="71"/>
      <c r="U651" s="71"/>
      <c r="V651" s="71"/>
      <c r="W651" s="71"/>
      <c r="X651" s="420">
        <f>SUM(L655:P655)</f>
        <v>0</v>
      </c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399"/>
      <c r="B652" s="535"/>
      <c r="C652" s="426"/>
      <c r="D652" s="355"/>
      <c r="E652" s="360"/>
      <c r="F652" s="414"/>
      <c r="G652" s="423"/>
      <c r="H652" s="423"/>
      <c r="I652" s="61" t="s">
        <v>31</v>
      </c>
      <c r="J652" s="62"/>
      <c r="K652" s="62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20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5" hidden="1" customHeight="1">
      <c r="A653" s="399"/>
      <c r="B653" s="535"/>
      <c r="C653" s="426"/>
      <c r="D653" s="355"/>
      <c r="E653" s="360"/>
      <c r="F653" s="414"/>
      <c r="G653" s="423"/>
      <c r="H653" s="423"/>
      <c r="I653" s="61" t="s">
        <v>30</v>
      </c>
      <c r="J653" s="62"/>
      <c r="K653" s="62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420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3.5" hidden="1" customHeight="1">
      <c r="A654" s="399"/>
      <c r="B654" s="535"/>
      <c r="C654" s="426"/>
      <c r="D654" s="355"/>
      <c r="E654" s="360"/>
      <c r="F654" s="414"/>
      <c r="G654" s="423"/>
      <c r="H654" s="423"/>
      <c r="I654" s="61" t="s">
        <v>132</v>
      </c>
      <c r="J654" s="62"/>
      <c r="K654" s="62"/>
      <c r="L654" s="87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420"/>
      <c r="Y654" s="40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2.25" hidden="1" customHeight="1">
      <c r="A655" s="400"/>
      <c r="B655" s="536"/>
      <c r="C655" s="427"/>
      <c r="D655" s="355"/>
      <c r="E655" s="360"/>
      <c r="F655" s="414"/>
      <c r="G655" s="424"/>
      <c r="H655" s="424"/>
      <c r="I655" s="64" t="s">
        <v>26</v>
      </c>
      <c r="J655" s="65"/>
      <c r="K655" s="65"/>
      <c r="L655" s="65">
        <f>SUM(L651:L654)</f>
        <v>0</v>
      </c>
      <c r="M655" s="65">
        <f>SUM(M651:M654)</f>
        <v>0</v>
      </c>
      <c r="N655" s="65">
        <f t="shared" ref="N655:P655" si="195">SUM(N651:N654)</f>
        <v>0</v>
      </c>
      <c r="O655" s="65">
        <f t="shared" si="195"/>
        <v>0</v>
      </c>
      <c r="P655" s="65">
        <f t="shared" si="195"/>
        <v>0</v>
      </c>
      <c r="Q655" s="65"/>
      <c r="R655" s="65"/>
      <c r="S655" s="65"/>
      <c r="T655" s="65"/>
      <c r="U655" s="65"/>
      <c r="V655" s="65"/>
      <c r="W655" s="65"/>
      <c r="X655" s="420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51">
        <v>50</v>
      </c>
      <c r="B656" s="377" t="s">
        <v>63</v>
      </c>
      <c r="C656" s="434">
        <v>2017</v>
      </c>
      <c r="D656" s="379">
        <v>2034</v>
      </c>
      <c r="E656" s="360" t="s">
        <v>258</v>
      </c>
      <c r="F656" s="438">
        <f>X656+1243191+79574</f>
        <v>3072765</v>
      </c>
      <c r="G656" s="381">
        <v>90015</v>
      </c>
      <c r="H656" s="154">
        <v>6050</v>
      </c>
      <c r="I656" s="163" t="s">
        <v>28</v>
      </c>
      <c r="J656" s="164">
        <v>227100</v>
      </c>
      <c r="K656" s="164">
        <v>100518</v>
      </c>
      <c r="L656" s="164"/>
      <c r="M656" s="164"/>
      <c r="N656" s="164">
        <v>200000</v>
      </c>
      <c r="O656" s="164">
        <v>170000</v>
      </c>
      <c r="P656" s="164">
        <v>170000</v>
      </c>
      <c r="Q656" s="164">
        <v>170000</v>
      </c>
      <c r="R656" s="164">
        <v>120000</v>
      </c>
      <c r="S656" s="164">
        <v>220000</v>
      </c>
      <c r="T656" s="164">
        <v>0</v>
      </c>
      <c r="U656" s="164">
        <v>360000</v>
      </c>
      <c r="V656" s="164">
        <v>170000</v>
      </c>
      <c r="W656" s="164">
        <v>170000</v>
      </c>
      <c r="X656" s="432">
        <f>SUM(L660:W660)</f>
        <v>1750000</v>
      </c>
      <c r="Y656" s="141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51"/>
      <c r="B657" s="377"/>
      <c r="C657" s="434"/>
      <c r="D657" s="379"/>
      <c r="E657" s="360"/>
      <c r="F657" s="438"/>
      <c r="G657" s="381"/>
      <c r="H657" s="154"/>
      <c r="I657" s="163" t="s">
        <v>31</v>
      </c>
      <c r="J657" s="156"/>
      <c r="K657" s="156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432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2" customHeight="1">
      <c r="A658" s="351"/>
      <c r="B658" s="377"/>
      <c r="C658" s="434"/>
      <c r="D658" s="379"/>
      <c r="E658" s="360"/>
      <c r="F658" s="438"/>
      <c r="G658" s="381"/>
      <c r="H658" s="154"/>
      <c r="I658" s="163" t="s">
        <v>30</v>
      </c>
      <c r="J658" s="156"/>
      <c r="K658" s="156"/>
      <c r="L658" s="158"/>
      <c r="M658" s="158"/>
      <c r="N658" s="158"/>
      <c r="O658" s="186"/>
      <c r="P658" s="186"/>
      <c r="Q658" s="186"/>
      <c r="R658" s="186"/>
      <c r="S658" s="186"/>
      <c r="T658" s="186"/>
      <c r="U658" s="186"/>
      <c r="V658" s="186"/>
      <c r="W658" s="186"/>
      <c r="X658" s="432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51"/>
      <c r="B659" s="377"/>
      <c r="C659" s="434"/>
      <c r="D659" s="379"/>
      <c r="E659" s="360"/>
      <c r="F659" s="438"/>
      <c r="G659" s="381"/>
      <c r="H659" s="154"/>
      <c r="I659" s="163" t="s">
        <v>33</v>
      </c>
      <c r="J659" s="158"/>
      <c r="K659" s="158"/>
      <c r="L659" s="158"/>
      <c r="M659" s="158"/>
      <c r="N659" s="158"/>
      <c r="O659" s="186"/>
      <c r="P659" s="186"/>
      <c r="Q659" s="186"/>
      <c r="R659" s="186"/>
      <c r="S659" s="186"/>
      <c r="T659" s="186"/>
      <c r="U659" s="186"/>
      <c r="V659" s="186"/>
      <c r="W659" s="186"/>
      <c r="X659" s="432"/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13.9" customHeight="1">
      <c r="A660" s="351"/>
      <c r="B660" s="377"/>
      <c r="C660" s="434"/>
      <c r="D660" s="379"/>
      <c r="E660" s="360"/>
      <c r="F660" s="438"/>
      <c r="G660" s="381"/>
      <c r="H660" s="154"/>
      <c r="I660" s="160" t="s">
        <v>26</v>
      </c>
      <c r="J660" s="161">
        <f t="shared" ref="J660:W660" si="196">SUM(J656:J659)</f>
        <v>227100</v>
      </c>
      <c r="K660" s="161">
        <f t="shared" si="196"/>
        <v>100518</v>
      </c>
      <c r="L660" s="161">
        <f t="shared" si="196"/>
        <v>0</v>
      </c>
      <c r="M660" s="161">
        <f t="shared" si="196"/>
        <v>0</v>
      </c>
      <c r="N660" s="161">
        <f t="shared" si="196"/>
        <v>200000</v>
      </c>
      <c r="O660" s="161">
        <f t="shared" si="196"/>
        <v>170000</v>
      </c>
      <c r="P660" s="161">
        <f t="shared" si="196"/>
        <v>170000</v>
      </c>
      <c r="Q660" s="161">
        <f t="shared" si="196"/>
        <v>170000</v>
      </c>
      <c r="R660" s="161">
        <f t="shared" si="196"/>
        <v>120000</v>
      </c>
      <c r="S660" s="161">
        <f t="shared" si="196"/>
        <v>220000</v>
      </c>
      <c r="T660" s="161">
        <f t="shared" si="196"/>
        <v>0</v>
      </c>
      <c r="U660" s="161">
        <f t="shared" si="196"/>
        <v>360000</v>
      </c>
      <c r="V660" s="161">
        <f t="shared" si="196"/>
        <v>170000</v>
      </c>
      <c r="W660" s="161">
        <f t="shared" si="196"/>
        <v>170000</v>
      </c>
      <c r="X660" s="432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51">
        <v>51</v>
      </c>
      <c r="B661" s="377" t="s">
        <v>64</v>
      </c>
      <c r="C661" s="388">
        <v>2015</v>
      </c>
      <c r="D661" s="388">
        <v>2033</v>
      </c>
      <c r="E661" s="360" t="s">
        <v>258</v>
      </c>
      <c r="F661" s="414">
        <f>61259+34652+X661+37800</f>
        <v>961711</v>
      </c>
      <c r="G661" s="354">
        <v>90015</v>
      </c>
      <c r="H661" s="90">
        <v>6060</v>
      </c>
      <c r="I661" s="61" t="s">
        <v>28</v>
      </c>
      <c r="J661" s="84">
        <v>39000</v>
      </c>
      <c r="K661" s="84">
        <v>6000</v>
      </c>
      <c r="L661" s="84"/>
      <c r="M661" s="84"/>
      <c r="N661" s="325">
        <v>8000</v>
      </c>
      <c r="O661" s="84">
        <v>100000</v>
      </c>
      <c r="P661" s="84">
        <v>90000</v>
      </c>
      <c r="Q661" s="84">
        <v>130000</v>
      </c>
      <c r="R661" s="84">
        <v>100000</v>
      </c>
      <c r="S661" s="84">
        <v>100000</v>
      </c>
      <c r="T661" s="84">
        <v>100000</v>
      </c>
      <c r="U661" s="84">
        <v>100000</v>
      </c>
      <c r="V661" s="84">
        <v>100000</v>
      </c>
      <c r="W661" s="84">
        <v>0</v>
      </c>
      <c r="X661" s="420">
        <f>SUM(L665:W665)</f>
        <v>828000</v>
      </c>
      <c r="Y661" s="141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51"/>
      <c r="B662" s="377"/>
      <c r="C662" s="388"/>
      <c r="D662" s="388"/>
      <c r="E662" s="360"/>
      <c r="F662" s="414"/>
      <c r="G662" s="354"/>
      <c r="H662" s="89"/>
      <c r="I662" s="60" t="s">
        <v>31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20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customHeight="1">
      <c r="A663" s="351"/>
      <c r="B663" s="377"/>
      <c r="C663" s="388"/>
      <c r="D663" s="388"/>
      <c r="E663" s="360"/>
      <c r="F663" s="414"/>
      <c r="G663" s="354"/>
      <c r="H663" s="89"/>
      <c r="I663" s="60" t="s">
        <v>30</v>
      </c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420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12" customHeight="1">
      <c r="A664" s="351"/>
      <c r="B664" s="377"/>
      <c r="C664" s="388"/>
      <c r="D664" s="388"/>
      <c r="E664" s="360"/>
      <c r="F664" s="414"/>
      <c r="G664" s="354"/>
      <c r="H664" s="89"/>
      <c r="I664" s="60" t="s">
        <v>33</v>
      </c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420"/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3.9" customHeight="1">
      <c r="A665" s="351"/>
      <c r="B665" s="377"/>
      <c r="C665" s="388"/>
      <c r="D665" s="388"/>
      <c r="E665" s="360"/>
      <c r="F665" s="414"/>
      <c r="G665" s="354"/>
      <c r="H665" s="89"/>
      <c r="I665" s="64" t="s">
        <v>26</v>
      </c>
      <c r="J665" s="65">
        <f t="shared" ref="J665:W665" si="197">SUM(J661:J664)</f>
        <v>39000</v>
      </c>
      <c r="K665" s="65">
        <f t="shared" si="197"/>
        <v>6000</v>
      </c>
      <c r="L665" s="65">
        <f t="shared" si="197"/>
        <v>0</v>
      </c>
      <c r="M665" s="65">
        <f t="shared" si="197"/>
        <v>0</v>
      </c>
      <c r="N665" s="65">
        <f t="shared" si="197"/>
        <v>8000</v>
      </c>
      <c r="O665" s="65">
        <f t="shared" si="197"/>
        <v>100000</v>
      </c>
      <c r="P665" s="65">
        <f t="shared" si="197"/>
        <v>90000</v>
      </c>
      <c r="Q665" s="65">
        <f t="shared" si="197"/>
        <v>130000</v>
      </c>
      <c r="R665" s="65">
        <f t="shared" si="197"/>
        <v>100000</v>
      </c>
      <c r="S665" s="65">
        <f t="shared" si="197"/>
        <v>100000</v>
      </c>
      <c r="T665" s="65">
        <f t="shared" si="197"/>
        <v>100000</v>
      </c>
      <c r="U665" s="65">
        <f t="shared" si="197"/>
        <v>100000</v>
      </c>
      <c r="V665" s="65">
        <f t="shared" si="197"/>
        <v>100000</v>
      </c>
      <c r="W665" s="65">
        <f t="shared" si="197"/>
        <v>0</v>
      </c>
      <c r="X665" s="420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65">
        <v>57</v>
      </c>
      <c r="B666" s="525" t="s">
        <v>224</v>
      </c>
      <c r="C666" s="391">
        <v>2023</v>
      </c>
      <c r="D666" s="391">
        <v>2024</v>
      </c>
      <c r="E666" s="360" t="s">
        <v>258</v>
      </c>
      <c r="F666" s="394"/>
      <c r="G666" s="435">
        <v>90015</v>
      </c>
      <c r="H666" s="88">
        <v>6050</v>
      </c>
      <c r="I666" s="210" t="s">
        <v>28</v>
      </c>
      <c r="J666" s="77">
        <v>30000</v>
      </c>
      <c r="K666" s="63"/>
      <c r="L666" s="63"/>
      <c r="M666" s="84"/>
      <c r="N666" s="85"/>
      <c r="O666" s="77"/>
      <c r="P666" s="77"/>
      <c r="Q666" s="77"/>
      <c r="R666" s="62"/>
      <c r="S666" s="63"/>
      <c r="T666" s="63"/>
      <c r="U666" s="63"/>
      <c r="V666" s="63"/>
      <c r="W666" s="63"/>
      <c r="X666" s="420">
        <f>SUM(L670:W670)</f>
        <v>0</v>
      </c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66"/>
      <c r="B667" s="526"/>
      <c r="C667" s="392"/>
      <c r="D667" s="392"/>
      <c r="E667" s="360"/>
      <c r="F667" s="395"/>
      <c r="G667" s="436"/>
      <c r="H667" s="88"/>
      <c r="I667" s="210" t="s">
        <v>31</v>
      </c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20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66"/>
      <c r="B668" s="526"/>
      <c r="C668" s="392"/>
      <c r="D668" s="392"/>
      <c r="E668" s="360"/>
      <c r="F668" s="395"/>
      <c r="G668" s="436"/>
      <c r="H668" s="88"/>
      <c r="I668" s="210" t="s">
        <v>30</v>
      </c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420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hidden="1" customHeight="1">
      <c r="A669" s="366"/>
      <c r="B669" s="526"/>
      <c r="C669" s="392"/>
      <c r="D669" s="392"/>
      <c r="E669" s="360"/>
      <c r="F669" s="395"/>
      <c r="G669" s="436"/>
      <c r="H669" s="88"/>
      <c r="I669" s="60" t="s">
        <v>70</v>
      </c>
      <c r="J669" s="85">
        <v>10000</v>
      </c>
      <c r="K669" s="63"/>
      <c r="L669" s="63"/>
      <c r="M669" s="84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20"/>
      <c r="Y669" s="40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hidden="1" customHeight="1">
      <c r="A670" s="367"/>
      <c r="B670" s="527"/>
      <c r="C670" s="393"/>
      <c r="D670" s="393"/>
      <c r="E670" s="360"/>
      <c r="F670" s="396"/>
      <c r="G670" s="437"/>
      <c r="H670" s="88"/>
      <c r="I670" s="64" t="s">
        <v>26</v>
      </c>
      <c r="J670" s="65">
        <f t="shared" ref="J670:N670" si="198">SUM(J666:J669)</f>
        <v>40000</v>
      </c>
      <c r="K670" s="65">
        <f t="shared" si="198"/>
        <v>0</v>
      </c>
      <c r="L670" s="65">
        <f t="shared" si="198"/>
        <v>0</v>
      </c>
      <c r="M670" s="65">
        <f t="shared" si="198"/>
        <v>0</v>
      </c>
      <c r="N670" s="65">
        <f t="shared" si="198"/>
        <v>0</v>
      </c>
      <c r="O670" s="65">
        <f>SUM(O666:O669)</f>
        <v>0</v>
      </c>
      <c r="P670" s="65">
        <f t="shared" ref="P670" si="199">SUM(P666:P669)</f>
        <v>0</v>
      </c>
      <c r="Q670" s="65">
        <f>SUM(Q666:Q669)</f>
        <v>0</v>
      </c>
      <c r="R670" s="65">
        <f t="shared" ref="R670:W670" si="200">SUM(R666:R669)</f>
        <v>0</v>
      </c>
      <c r="S670" s="65">
        <f t="shared" si="200"/>
        <v>0</v>
      </c>
      <c r="T670" s="65">
        <f t="shared" si="200"/>
        <v>0</v>
      </c>
      <c r="U670" s="65">
        <f t="shared" si="200"/>
        <v>0</v>
      </c>
      <c r="V670" s="65">
        <f t="shared" si="200"/>
        <v>0</v>
      </c>
      <c r="W670" s="65">
        <f t="shared" si="200"/>
        <v>0</v>
      </c>
      <c r="X670" s="420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65">
        <v>58</v>
      </c>
      <c r="B671" s="525" t="s">
        <v>222</v>
      </c>
      <c r="C671" s="391">
        <v>2023</v>
      </c>
      <c r="D671" s="391">
        <v>2024</v>
      </c>
      <c r="E671" s="360" t="s">
        <v>258</v>
      </c>
      <c r="F671" s="394"/>
      <c r="G671" s="435">
        <v>90015</v>
      </c>
      <c r="H671" s="88">
        <v>6050</v>
      </c>
      <c r="I671" s="210" t="s">
        <v>28</v>
      </c>
      <c r="J671" s="77">
        <v>30000</v>
      </c>
      <c r="K671" s="63"/>
      <c r="L671" s="63"/>
      <c r="M671" s="84"/>
      <c r="N671" s="85"/>
      <c r="O671" s="77"/>
      <c r="P671" s="77"/>
      <c r="Q671" s="77"/>
      <c r="R671" s="62"/>
      <c r="S671" s="63"/>
      <c r="T671" s="63"/>
      <c r="U671" s="63"/>
      <c r="V671" s="63"/>
      <c r="W671" s="63"/>
      <c r="X671" s="420">
        <f>SUM(L675:W675)</f>
        <v>0</v>
      </c>
      <c r="Y671" s="141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66"/>
      <c r="B672" s="526"/>
      <c r="C672" s="392"/>
      <c r="D672" s="392"/>
      <c r="E672" s="360"/>
      <c r="F672" s="395"/>
      <c r="G672" s="436"/>
      <c r="H672" s="88"/>
      <c r="I672" s="210" t="s">
        <v>31</v>
      </c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20"/>
      <c r="Y672" s="40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3.9" hidden="1" customHeight="1">
      <c r="A673" s="366"/>
      <c r="B673" s="526"/>
      <c r="C673" s="392"/>
      <c r="D673" s="392"/>
      <c r="E673" s="360"/>
      <c r="F673" s="395"/>
      <c r="G673" s="436"/>
      <c r="H673" s="88"/>
      <c r="I673" s="210" t="s">
        <v>30</v>
      </c>
      <c r="J673" s="63"/>
      <c r="K673" s="63"/>
      <c r="L673" s="63"/>
      <c r="M673" s="62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420"/>
      <c r="Y673" s="40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3.9" hidden="1" customHeight="1">
      <c r="A674" s="366"/>
      <c r="B674" s="526"/>
      <c r="C674" s="392"/>
      <c r="D674" s="392"/>
      <c r="E674" s="360"/>
      <c r="F674" s="395"/>
      <c r="G674" s="436"/>
      <c r="H674" s="88"/>
      <c r="I674" s="60" t="s">
        <v>70</v>
      </c>
      <c r="J674" s="85">
        <v>10000</v>
      </c>
      <c r="K674" s="63"/>
      <c r="L674" s="63"/>
      <c r="M674" s="84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20"/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67"/>
      <c r="B675" s="527"/>
      <c r="C675" s="393"/>
      <c r="D675" s="393"/>
      <c r="E675" s="360"/>
      <c r="F675" s="396"/>
      <c r="G675" s="437"/>
      <c r="H675" s="88"/>
      <c r="I675" s="64" t="s">
        <v>26</v>
      </c>
      <c r="J675" s="65">
        <f t="shared" ref="J675:W675" si="201">SUM(J671:J674)</f>
        <v>40000</v>
      </c>
      <c r="K675" s="65">
        <f t="shared" si="201"/>
        <v>0</v>
      </c>
      <c r="L675" s="65">
        <f t="shared" si="201"/>
        <v>0</v>
      </c>
      <c r="M675" s="65">
        <f t="shared" si="201"/>
        <v>0</v>
      </c>
      <c r="N675" s="65">
        <f t="shared" si="201"/>
        <v>0</v>
      </c>
      <c r="O675" s="65">
        <f>SUM(O671:O674)</f>
        <v>0</v>
      </c>
      <c r="P675" s="65">
        <f t="shared" si="201"/>
        <v>0</v>
      </c>
      <c r="Q675" s="65">
        <f>SUM(Q671:Q674)</f>
        <v>0</v>
      </c>
      <c r="R675" s="65">
        <f t="shared" si="201"/>
        <v>0</v>
      </c>
      <c r="S675" s="65">
        <f t="shared" si="201"/>
        <v>0</v>
      </c>
      <c r="T675" s="65">
        <f t="shared" si="201"/>
        <v>0</v>
      </c>
      <c r="U675" s="65">
        <f t="shared" si="201"/>
        <v>0</v>
      </c>
      <c r="V675" s="65">
        <f t="shared" si="201"/>
        <v>0</v>
      </c>
      <c r="W675" s="65">
        <f t="shared" si="201"/>
        <v>0</v>
      </c>
      <c r="X675" s="420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51">
        <v>52</v>
      </c>
      <c r="B676" s="443" t="s">
        <v>143</v>
      </c>
      <c r="C676" s="388">
        <v>2014</v>
      </c>
      <c r="D676" s="388">
        <v>2025</v>
      </c>
      <c r="E676" s="360" t="s">
        <v>258</v>
      </c>
      <c r="F676" s="389">
        <v>507034</v>
      </c>
      <c r="G676" s="431">
        <v>90095</v>
      </c>
      <c r="H676" s="86"/>
      <c r="I676" s="58" t="s">
        <v>28</v>
      </c>
      <c r="J676" s="87">
        <v>219943</v>
      </c>
      <c r="K676" s="87">
        <v>30000</v>
      </c>
      <c r="L676" s="77"/>
      <c r="M676" s="287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20">
        <f>SUM(L680:W680)</f>
        <v>14893</v>
      </c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51"/>
      <c r="B677" s="443"/>
      <c r="C677" s="388"/>
      <c r="D677" s="388"/>
      <c r="E677" s="360"/>
      <c r="F677" s="389"/>
      <c r="G677" s="431"/>
      <c r="H677" s="86"/>
      <c r="I677" s="67" t="s">
        <v>28</v>
      </c>
      <c r="J677" s="62"/>
      <c r="K677" s="85"/>
      <c r="L677" s="85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420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" customHeight="1">
      <c r="A678" s="351"/>
      <c r="B678" s="443"/>
      <c r="C678" s="388"/>
      <c r="D678" s="388"/>
      <c r="E678" s="360"/>
      <c r="F678" s="389"/>
      <c r="G678" s="431"/>
      <c r="H678" s="88"/>
      <c r="I678" s="210" t="s">
        <v>31</v>
      </c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420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" customHeight="1">
      <c r="A679" s="351"/>
      <c r="B679" s="443"/>
      <c r="C679" s="388"/>
      <c r="D679" s="388"/>
      <c r="E679" s="360"/>
      <c r="F679" s="389"/>
      <c r="G679" s="431"/>
      <c r="H679" s="89">
        <v>6050</v>
      </c>
      <c r="I679" s="61" t="s">
        <v>70</v>
      </c>
      <c r="J679" s="62">
        <v>12737</v>
      </c>
      <c r="K679" s="63">
        <v>15851</v>
      </c>
      <c r="L679" s="85"/>
      <c r="M679" s="84"/>
      <c r="N679" s="84">
        <v>14893</v>
      </c>
      <c r="O679" s="63"/>
      <c r="P679" s="63"/>
      <c r="Q679" s="63"/>
      <c r="R679" s="63"/>
      <c r="S679" s="63"/>
      <c r="T679" s="63"/>
      <c r="U679" s="63"/>
      <c r="V679" s="63"/>
      <c r="W679" s="63"/>
      <c r="X679" s="420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4.25" customHeight="1">
      <c r="A680" s="351"/>
      <c r="B680" s="443"/>
      <c r="C680" s="388"/>
      <c r="D680" s="388"/>
      <c r="E680" s="360"/>
      <c r="F680" s="389"/>
      <c r="G680" s="431"/>
      <c r="H680" s="88"/>
      <c r="I680" s="59" t="s">
        <v>26</v>
      </c>
      <c r="J680" s="65">
        <f t="shared" ref="J680:P680" si="202">SUM(J676:J679)</f>
        <v>232680</v>
      </c>
      <c r="K680" s="65">
        <f t="shared" si="202"/>
        <v>45851</v>
      </c>
      <c r="L680" s="212">
        <f t="shared" si="202"/>
        <v>0</v>
      </c>
      <c r="M680" s="66">
        <f t="shared" si="202"/>
        <v>0</v>
      </c>
      <c r="N680" s="66">
        <f t="shared" si="202"/>
        <v>14893</v>
      </c>
      <c r="O680" s="66">
        <f t="shared" si="202"/>
        <v>0</v>
      </c>
      <c r="P680" s="66">
        <f t="shared" si="202"/>
        <v>0</v>
      </c>
      <c r="Q680" s="66"/>
      <c r="R680" s="66"/>
      <c r="S680" s="66"/>
      <c r="T680" s="66"/>
      <c r="U680" s="66"/>
      <c r="V680" s="66"/>
      <c r="W680" s="66"/>
      <c r="X680" s="420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65">
        <v>74</v>
      </c>
      <c r="B681" s="522" t="s">
        <v>106</v>
      </c>
      <c r="C681" s="391">
        <v>2014</v>
      </c>
      <c r="D681" s="415">
        <v>2027</v>
      </c>
      <c r="E681" s="528" t="s">
        <v>27</v>
      </c>
      <c r="F681" s="394">
        <f>X681</f>
        <v>0</v>
      </c>
      <c r="G681" s="514">
        <v>90095</v>
      </c>
      <c r="H681" s="86">
        <v>6050</v>
      </c>
      <c r="I681" s="58" t="s">
        <v>28</v>
      </c>
      <c r="J681" s="87">
        <v>312341</v>
      </c>
      <c r="K681" s="87">
        <v>0</v>
      </c>
      <c r="L681" s="87"/>
      <c r="P681" s="236"/>
      <c r="Q681" s="236"/>
      <c r="R681" s="70"/>
      <c r="S681" s="70"/>
      <c r="T681" s="70"/>
      <c r="U681" s="70"/>
      <c r="V681" s="70"/>
      <c r="W681" s="70"/>
      <c r="X681" s="511">
        <f>SUM(L686:W686)</f>
        <v>0</v>
      </c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66"/>
      <c r="B682" s="523"/>
      <c r="C682" s="392"/>
      <c r="D682" s="416"/>
      <c r="E682" s="529"/>
      <c r="F682" s="395"/>
      <c r="G682" s="515"/>
      <c r="H682" s="86"/>
      <c r="I682" s="67" t="s">
        <v>28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12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66"/>
      <c r="B683" s="523"/>
      <c r="C683" s="392"/>
      <c r="D683" s="416"/>
      <c r="E683" s="529"/>
      <c r="F683" s="395"/>
      <c r="G683" s="515"/>
      <c r="H683" s="86"/>
      <c r="I683" s="58" t="s">
        <v>31</v>
      </c>
      <c r="J683" s="84"/>
      <c r="K683" s="85"/>
      <c r="L683" s="85"/>
      <c r="M683" s="85"/>
      <c r="N683" s="85"/>
      <c r="O683" s="85"/>
      <c r="P683" s="70"/>
      <c r="Q683" s="70"/>
      <c r="R683" s="70"/>
      <c r="S683" s="70"/>
      <c r="T683" s="70"/>
      <c r="U683" s="70"/>
      <c r="V683" s="70"/>
      <c r="W683" s="70"/>
      <c r="X683" s="512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hidden="1" customHeight="1">
      <c r="A684" s="366"/>
      <c r="B684" s="523"/>
      <c r="C684" s="392"/>
      <c r="D684" s="416"/>
      <c r="E684" s="529"/>
      <c r="F684" s="395"/>
      <c r="G684" s="515"/>
      <c r="H684" s="86"/>
      <c r="I684" s="67" t="s">
        <v>30</v>
      </c>
      <c r="J684" s="62"/>
      <c r="K684" s="63"/>
      <c r="L684" s="63"/>
      <c r="M684" s="63"/>
      <c r="N684" s="63"/>
      <c r="O684" s="63"/>
      <c r="P684" s="70"/>
      <c r="Q684" s="70"/>
      <c r="R684" s="70"/>
      <c r="S684" s="70"/>
      <c r="T684" s="70"/>
      <c r="U684" s="70"/>
      <c r="V684" s="70"/>
      <c r="W684" s="70"/>
      <c r="X684" s="512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66"/>
      <c r="B685" s="523"/>
      <c r="C685" s="392"/>
      <c r="D685" s="416"/>
      <c r="E685" s="529"/>
      <c r="F685" s="395"/>
      <c r="G685" s="515"/>
      <c r="H685" s="89"/>
      <c r="I685" s="60" t="s">
        <v>33</v>
      </c>
      <c r="J685" s="85"/>
      <c r="K685" s="63"/>
      <c r="L685" s="63"/>
      <c r="M685" s="63"/>
      <c r="N685" s="63"/>
      <c r="O685" s="63"/>
      <c r="P685" s="63"/>
      <c r="Q685" s="62"/>
      <c r="R685" s="63"/>
      <c r="S685" s="63"/>
      <c r="T685" s="63"/>
      <c r="U685" s="63"/>
      <c r="V685" s="63"/>
      <c r="W685" s="63"/>
      <c r="X685" s="512"/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17.25" hidden="1" customHeight="1">
      <c r="A686" s="367"/>
      <c r="B686" s="524"/>
      <c r="C686" s="393"/>
      <c r="D686" s="417"/>
      <c r="E686" s="530"/>
      <c r="F686" s="396"/>
      <c r="G686" s="516"/>
      <c r="H686" s="88"/>
      <c r="I686" s="59" t="s">
        <v>26</v>
      </c>
      <c r="J686" s="65">
        <f>SUM(J681:J685)</f>
        <v>312341</v>
      </c>
      <c r="K686" s="65">
        <f>SUM(K681:K685)</f>
        <v>0</v>
      </c>
      <c r="L686" s="65">
        <f t="shared" ref="L686:N686" si="203">SUM(L681:L685)</f>
        <v>0</v>
      </c>
      <c r="M686" s="65">
        <f t="shared" si="203"/>
        <v>0</v>
      </c>
      <c r="N686" s="65">
        <f t="shared" si="203"/>
        <v>0</v>
      </c>
      <c r="O686" s="65">
        <f>SUM(O681:O685)</f>
        <v>0</v>
      </c>
      <c r="P686" s="66">
        <f>SUM(P681:P685)</f>
        <v>0</v>
      </c>
      <c r="Q686" s="65">
        <f>SUM(Q681:Q685)</f>
        <v>0</v>
      </c>
      <c r="R686" s="66"/>
      <c r="S686" s="66"/>
      <c r="T686" s="66"/>
      <c r="U686" s="66"/>
      <c r="V686" s="66"/>
      <c r="W686" s="66"/>
      <c r="X686" s="513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51">
        <v>53</v>
      </c>
      <c r="B687" s="443" t="s">
        <v>232</v>
      </c>
      <c r="C687" s="397">
        <v>2024</v>
      </c>
      <c r="D687" s="355">
        <v>2025</v>
      </c>
      <c r="E687" s="360" t="s">
        <v>258</v>
      </c>
      <c r="F687" s="389">
        <f>X687+1391273</f>
        <v>7597573</v>
      </c>
      <c r="G687" s="439">
        <v>90095</v>
      </c>
      <c r="H687" s="86">
        <v>6050</v>
      </c>
      <c r="I687" s="58" t="s">
        <v>28</v>
      </c>
      <c r="J687" s="84">
        <v>50950</v>
      </c>
      <c r="K687" s="62"/>
      <c r="L687" s="84"/>
      <c r="M687" s="326"/>
      <c r="N687" s="87">
        <v>252300</v>
      </c>
      <c r="O687" s="243"/>
      <c r="P687" s="84"/>
      <c r="Q687" s="84"/>
      <c r="R687" s="62"/>
      <c r="S687" s="62"/>
      <c r="T687" s="62"/>
      <c r="U687" s="62"/>
      <c r="V687" s="62"/>
      <c r="W687" s="62"/>
      <c r="X687" s="465">
        <f>SUM(L691:W691)</f>
        <v>6206300</v>
      </c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51"/>
      <c r="B688" s="443"/>
      <c r="C688" s="397"/>
      <c r="D688" s="355"/>
      <c r="E688" s="360"/>
      <c r="F688" s="389"/>
      <c r="G688" s="439"/>
      <c r="H688" s="86">
        <v>6370</v>
      </c>
      <c r="I688" s="58" t="s">
        <v>233</v>
      </c>
      <c r="J688" s="62"/>
      <c r="K688" s="62"/>
      <c r="L688" s="84"/>
      <c r="M688" s="84"/>
      <c r="N688" s="84">
        <v>5950000</v>
      </c>
      <c r="O688" s="62"/>
      <c r="P688" s="62"/>
      <c r="Q688" s="62"/>
      <c r="R688" s="62"/>
      <c r="S688" s="62"/>
      <c r="T688" s="62"/>
      <c r="U688" s="62"/>
      <c r="V688" s="62"/>
      <c r="W688" s="62"/>
      <c r="X688" s="465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4.45" customHeight="1">
      <c r="A689" s="351"/>
      <c r="B689" s="443"/>
      <c r="C689" s="397"/>
      <c r="D689" s="355"/>
      <c r="E689" s="360"/>
      <c r="F689" s="389"/>
      <c r="G689" s="439"/>
      <c r="H689" s="86">
        <v>6050</v>
      </c>
      <c r="I689" s="58" t="s">
        <v>234</v>
      </c>
      <c r="J689" s="62"/>
      <c r="K689" s="62"/>
      <c r="L689" s="84"/>
      <c r="M689" s="84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465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4.45" customHeight="1">
      <c r="A690" s="351"/>
      <c r="B690" s="443"/>
      <c r="C690" s="397"/>
      <c r="D690" s="355"/>
      <c r="E690" s="360"/>
      <c r="F690" s="389"/>
      <c r="G690" s="439"/>
      <c r="H690" s="86"/>
      <c r="I690" s="61" t="s">
        <v>70</v>
      </c>
      <c r="J690" s="62"/>
      <c r="K690" s="84">
        <v>35000</v>
      </c>
      <c r="L690" s="84"/>
      <c r="M690" s="326"/>
      <c r="N690" s="84">
        <v>4000</v>
      </c>
      <c r="O690" s="62"/>
      <c r="P690" s="62"/>
      <c r="Q690" s="62"/>
      <c r="R690" s="62"/>
      <c r="S690" s="62"/>
      <c r="T690" s="62"/>
      <c r="U690" s="62"/>
      <c r="V690" s="62"/>
      <c r="W690" s="62"/>
      <c r="X690" s="465"/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2.75" customHeight="1">
      <c r="A691" s="351"/>
      <c r="B691" s="443"/>
      <c r="C691" s="397"/>
      <c r="D691" s="355"/>
      <c r="E691" s="360"/>
      <c r="F691" s="389"/>
      <c r="G691" s="439"/>
      <c r="H691" s="86"/>
      <c r="I691" s="64" t="s">
        <v>26</v>
      </c>
      <c r="J691" s="65">
        <f t="shared" ref="J691:K691" si="204">SUM(J687:J690)</f>
        <v>50950</v>
      </c>
      <c r="K691" s="65">
        <f t="shared" si="204"/>
        <v>35000</v>
      </c>
      <c r="L691" s="65">
        <f>SUM(L687:L690)</f>
        <v>0</v>
      </c>
      <c r="M691" s="65">
        <f>SUM(M687:M690)</f>
        <v>0</v>
      </c>
      <c r="N691" s="65">
        <f t="shared" ref="N691:W691" si="205">SUM(N687:N690)</f>
        <v>6206300</v>
      </c>
      <c r="O691" s="65">
        <f t="shared" si="205"/>
        <v>0</v>
      </c>
      <c r="P691" s="65">
        <f>SUM(P687:P690)</f>
        <v>0</v>
      </c>
      <c r="Q691" s="65">
        <f>SUM(Q687:Q690)</f>
        <v>0</v>
      </c>
      <c r="R691" s="65">
        <f t="shared" si="205"/>
        <v>0</v>
      </c>
      <c r="S691" s="65">
        <f t="shared" si="205"/>
        <v>0</v>
      </c>
      <c r="T691" s="65">
        <f t="shared" si="205"/>
        <v>0</v>
      </c>
      <c r="U691" s="65">
        <f t="shared" si="205"/>
        <v>0</v>
      </c>
      <c r="V691" s="65">
        <f t="shared" si="205"/>
        <v>0</v>
      </c>
      <c r="W691" s="65">
        <f t="shared" si="205"/>
        <v>0</v>
      </c>
      <c r="X691" s="465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65">
        <v>59</v>
      </c>
      <c r="B692" s="557" t="s">
        <v>247</v>
      </c>
      <c r="C692" s="569">
        <v>2024</v>
      </c>
      <c r="D692" s="570">
        <v>2025</v>
      </c>
      <c r="E692" s="572" t="s">
        <v>235</v>
      </c>
      <c r="F692" s="414">
        <f>X692</f>
        <v>0</v>
      </c>
      <c r="G692" s="444">
        <v>90095</v>
      </c>
      <c r="H692" s="327">
        <v>6230</v>
      </c>
      <c r="I692" s="328" t="s">
        <v>246</v>
      </c>
      <c r="J692" s="326">
        <v>50950</v>
      </c>
      <c r="K692" s="329"/>
      <c r="L692" s="326"/>
      <c r="M692" s="326">
        <v>0</v>
      </c>
      <c r="N692" s="326">
        <v>0</v>
      </c>
      <c r="O692" s="330"/>
      <c r="P692" s="326"/>
      <c r="Q692" s="326"/>
      <c r="R692" s="329"/>
      <c r="S692" s="329"/>
      <c r="T692" s="329"/>
      <c r="U692" s="329"/>
      <c r="V692" s="329"/>
      <c r="W692" s="329"/>
      <c r="X692" s="420">
        <f>SUM(L696:W696)</f>
        <v>0</v>
      </c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66"/>
      <c r="B693" s="557"/>
      <c r="C693" s="569"/>
      <c r="D693" s="570"/>
      <c r="E693" s="572"/>
      <c r="F693" s="414"/>
      <c r="G693" s="444"/>
      <c r="H693" s="327"/>
      <c r="I693" s="328" t="s">
        <v>233</v>
      </c>
      <c r="J693" s="329"/>
      <c r="K693" s="329"/>
      <c r="L693" s="326"/>
      <c r="M693" s="326"/>
      <c r="N693" s="326"/>
      <c r="O693" s="329"/>
      <c r="P693" s="329"/>
      <c r="Q693" s="329"/>
      <c r="R693" s="329"/>
      <c r="S693" s="329"/>
      <c r="T693" s="329"/>
      <c r="U693" s="329"/>
      <c r="V693" s="329"/>
      <c r="W693" s="329"/>
      <c r="X693" s="420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66"/>
      <c r="B694" s="557"/>
      <c r="C694" s="569"/>
      <c r="D694" s="570"/>
      <c r="E694" s="572"/>
      <c r="F694" s="414"/>
      <c r="G694" s="444"/>
      <c r="H694" s="327"/>
      <c r="I694" s="328" t="s">
        <v>234</v>
      </c>
      <c r="J694" s="329"/>
      <c r="K694" s="329"/>
      <c r="L694" s="326"/>
      <c r="M694" s="326"/>
      <c r="N694" s="329"/>
      <c r="O694" s="329"/>
      <c r="P694" s="329"/>
      <c r="Q694" s="329"/>
      <c r="R694" s="329"/>
      <c r="S694" s="329"/>
      <c r="T694" s="329"/>
      <c r="U694" s="329"/>
      <c r="V694" s="329"/>
      <c r="W694" s="329"/>
      <c r="X694" s="420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hidden="1" customHeight="1">
      <c r="A695" s="366"/>
      <c r="B695" s="557"/>
      <c r="C695" s="569"/>
      <c r="D695" s="570"/>
      <c r="E695" s="572"/>
      <c r="F695" s="414"/>
      <c r="G695" s="444"/>
      <c r="H695" s="327"/>
      <c r="I695" s="331" t="s">
        <v>70</v>
      </c>
      <c r="J695" s="329"/>
      <c r="K695" s="326">
        <v>35000</v>
      </c>
      <c r="L695" s="326"/>
      <c r="M695" s="326"/>
      <c r="N695" s="329"/>
      <c r="O695" s="329"/>
      <c r="P695" s="329"/>
      <c r="Q695" s="329"/>
      <c r="R695" s="329"/>
      <c r="S695" s="329"/>
      <c r="T695" s="329"/>
      <c r="U695" s="329"/>
      <c r="V695" s="329"/>
      <c r="W695" s="329"/>
      <c r="X695" s="420"/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hidden="1" customHeight="1">
      <c r="A696" s="367"/>
      <c r="B696" s="557"/>
      <c r="C696" s="569"/>
      <c r="D696" s="570"/>
      <c r="E696" s="572"/>
      <c r="F696" s="414"/>
      <c r="G696" s="444"/>
      <c r="H696" s="327"/>
      <c r="I696" s="332" t="s">
        <v>26</v>
      </c>
      <c r="J696" s="329">
        <f t="shared" ref="J696:K696" si="206">SUM(J692:J695)</f>
        <v>50950</v>
      </c>
      <c r="K696" s="329">
        <f t="shared" si="206"/>
        <v>35000</v>
      </c>
      <c r="L696" s="329">
        <f>SUM(L692:L695)</f>
        <v>0</v>
      </c>
      <c r="M696" s="329">
        <f>SUM(M692:M695)</f>
        <v>0</v>
      </c>
      <c r="N696" s="329">
        <f t="shared" ref="N696:O696" si="207">SUM(N692:N695)</f>
        <v>0</v>
      </c>
      <c r="O696" s="329">
        <f t="shared" si="207"/>
        <v>0</v>
      </c>
      <c r="P696" s="329">
        <f>SUM(P692:P695)</f>
        <v>0</v>
      </c>
      <c r="Q696" s="329">
        <f>SUM(Q692:Q695)</f>
        <v>0</v>
      </c>
      <c r="R696" s="329">
        <f t="shared" ref="R696:W696" si="208">SUM(R692:R695)</f>
        <v>0</v>
      </c>
      <c r="S696" s="329">
        <f t="shared" si="208"/>
        <v>0</v>
      </c>
      <c r="T696" s="329">
        <f t="shared" si="208"/>
        <v>0</v>
      </c>
      <c r="U696" s="329">
        <f t="shared" si="208"/>
        <v>0</v>
      </c>
      <c r="V696" s="329">
        <f t="shared" si="208"/>
        <v>0</v>
      </c>
      <c r="W696" s="329">
        <f t="shared" si="208"/>
        <v>0</v>
      </c>
      <c r="X696" s="420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51">
        <v>54</v>
      </c>
      <c r="B697" s="443" t="s">
        <v>163</v>
      </c>
      <c r="C697" s="451">
        <v>2019</v>
      </c>
      <c r="D697" s="371">
        <v>2025</v>
      </c>
      <c r="E697" s="360" t="s">
        <v>258</v>
      </c>
      <c r="F697" s="438">
        <f>305951+X697</f>
        <v>341451</v>
      </c>
      <c r="G697" s="381">
        <v>90095</v>
      </c>
      <c r="H697" s="165">
        <v>6050</v>
      </c>
      <c r="I697" s="163" t="s">
        <v>28</v>
      </c>
      <c r="J697" s="156">
        <v>85000</v>
      </c>
      <c r="K697" s="156"/>
      <c r="L697" s="156"/>
      <c r="M697" s="156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432">
        <f>SUM(L701:W701)</f>
        <v>35500</v>
      </c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51"/>
      <c r="B698" s="443"/>
      <c r="C698" s="451"/>
      <c r="D698" s="371"/>
      <c r="E698" s="360"/>
      <c r="F698" s="438"/>
      <c r="G698" s="381"/>
      <c r="H698" s="165"/>
      <c r="I698" s="163" t="s">
        <v>31</v>
      </c>
      <c r="J698" s="187"/>
      <c r="K698" s="187"/>
      <c r="L698" s="187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432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51"/>
      <c r="B699" s="443"/>
      <c r="C699" s="451"/>
      <c r="D699" s="371"/>
      <c r="E699" s="360"/>
      <c r="F699" s="438"/>
      <c r="G699" s="381"/>
      <c r="H699" s="165"/>
      <c r="I699" s="163" t="s">
        <v>108</v>
      </c>
      <c r="J699" s="187"/>
      <c r="K699" s="156">
        <v>21000</v>
      </c>
      <c r="L699" s="187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432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" customHeight="1">
      <c r="A700" s="351"/>
      <c r="B700" s="443"/>
      <c r="C700" s="451"/>
      <c r="D700" s="371"/>
      <c r="E700" s="360"/>
      <c r="F700" s="438"/>
      <c r="G700" s="381"/>
      <c r="H700" s="165">
        <v>6050</v>
      </c>
      <c r="I700" s="155" t="s">
        <v>70</v>
      </c>
      <c r="J700" s="187"/>
      <c r="K700" s="209">
        <v>25500</v>
      </c>
      <c r="L700" s="156"/>
      <c r="M700" s="324"/>
      <c r="N700" s="187">
        <v>35500</v>
      </c>
      <c r="O700" s="187"/>
      <c r="P700" s="187"/>
      <c r="Q700" s="187"/>
      <c r="R700" s="187"/>
      <c r="S700" s="187"/>
      <c r="T700" s="187"/>
      <c r="U700" s="187"/>
      <c r="V700" s="187"/>
      <c r="W700" s="187"/>
      <c r="X700" s="432"/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" customHeight="1">
      <c r="A701" s="351"/>
      <c r="B701" s="443"/>
      <c r="C701" s="451"/>
      <c r="D701" s="371"/>
      <c r="E701" s="360"/>
      <c r="F701" s="438"/>
      <c r="G701" s="381"/>
      <c r="H701" s="165"/>
      <c r="I701" s="160" t="s">
        <v>26</v>
      </c>
      <c r="J701" s="161">
        <f>SUM(J697:J700)</f>
        <v>85000</v>
      </c>
      <c r="K701" s="161">
        <f>SUM(K697:K700)</f>
        <v>46500</v>
      </c>
      <c r="L701" s="161">
        <f>SUM(L697:L700)</f>
        <v>0</v>
      </c>
      <c r="M701" s="161">
        <f t="shared" ref="M701:W701" si="209">SUM(M697:M700)</f>
        <v>0</v>
      </c>
      <c r="N701" s="161">
        <f t="shared" si="209"/>
        <v>35500</v>
      </c>
      <c r="O701" s="161">
        <f t="shared" si="209"/>
        <v>0</v>
      </c>
      <c r="P701" s="161">
        <f t="shared" si="209"/>
        <v>0</v>
      </c>
      <c r="Q701" s="161">
        <f t="shared" si="209"/>
        <v>0</v>
      </c>
      <c r="R701" s="161">
        <f t="shared" si="209"/>
        <v>0</v>
      </c>
      <c r="S701" s="161">
        <f t="shared" si="209"/>
        <v>0</v>
      </c>
      <c r="T701" s="161">
        <f t="shared" si="209"/>
        <v>0</v>
      </c>
      <c r="U701" s="161">
        <f t="shared" si="209"/>
        <v>0</v>
      </c>
      <c r="V701" s="161">
        <f t="shared" si="209"/>
        <v>0</v>
      </c>
      <c r="W701" s="161">
        <f t="shared" si="209"/>
        <v>0</v>
      </c>
      <c r="X701" s="432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51">
        <v>55</v>
      </c>
      <c r="B702" s="443" t="s">
        <v>141</v>
      </c>
      <c r="C702" s="397">
        <v>2019</v>
      </c>
      <c r="D702" s="355">
        <v>2025</v>
      </c>
      <c r="E702" s="360" t="s">
        <v>258</v>
      </c>
      <c r="F702" s="389">
        <f>277482+X702+42569</f>
        <v>350051</v>
      </c>
      <c r="G702" s="439">
        <v>90095</v>
      </c>
      <c r="H702" s="86">
        <v>6050</v>
      </c>
      <c r="I702" s="210" t="s">
        <v>28</v>
      </c>
      <c r="J702" s="84">
        <v>21000</v>
      </c>
      <c r="K702" s="62"/>
      <c r="L702" s="84"/>
      <c r="M702" s="84"/>
      <c r="N702" s="84">
        <v>30000</v>
      </c>
      <c r="O702" s="62"/>
      <c r="P702" s="62"/>
      <c r="Q702" s="62"/>
      <c r="R702" s="62"/>
      <c r="S702" s="62"/>
      <c r="T702" s="62"/>
      <c r="U702" s="62"/>
      <c r="V702" s="62"/>
      <c r="W702" s="62"/>
      <c r="X702" s="375">
        <f>SUM(L706:W706)</f>
        <v>30000</v>
      </c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51"/>
      <c r="B703" s="443"/>
      <c r="C703" s="397"/>
      <c r="D703" s="355"/>
      <c r="E703" s="360"/>
      <c r="F703" s="389"/>
      <c r="G703" s="439"/>
      <c r="H703" s="86"/>
      <c r="I703" s="210" t="s">
        <v>31</v>
      </c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75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customHeight="1">
      <c r="A704" s="351"/>
      <c r="B704" s="443"/>
      <c r="C704" s="397"/>
      <c r="D704" s="355"/>
      <c r="E704" s="360"/>
      <c r="F704" s="389"/>
      <c r="G704" s="439"/>
      <c r="H704" s="89">
        <v>6050</v>
      </c>
      <c r="I704" s="210" t="s">
        <v>142</v>
      </c>
      <c r="J704" s="62"/>
      <c r="K704" s="84">
        <v>7000</v>
      </c>
      <c r="L704" s="84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375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customHeight="1">
      <c r="A705" s="351"/>
      <c r="B705" s="443"/>
      <c r="C705" s="397"/>
      <c r="D705" s="355"/>
      <c r="E705" s="360"/>
      <c r="F705" s="389"/>
      <c r="G705" s="439"/>
      <c r="H705" s="86">
        <v>6050</v>
      </c>
      <c r="I705" s="60" t="s">
        <v>70</v>
      </c>
      <c r="J705" s="62"/>
      <c r="K705" s="84">
        <v>15832</v>
      </c>
      <c r="L705" s="84"/>
      <c r="M705" s="84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375"/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25.5" customHeight="1">
      <c r="A706" s="351"/>
      <c r="B706" s="443"/>
      <c r="C706" s="397"/>
      <c r="D706" s="355"/>
      <c r="E706" s="360"/>
      <c r="F706" s="389"/>
      <c r="G706" s="439"/>
      <c r="H706" s="86"/>
      <c r="I706" s="64" t="s">
        <v>26</v>
      </c>
      <c r="J706" s="65">
        <f>SUM(J702:J705)</f>
        <v>21000</v>
      </c>
      <c r="K706" s="65">
        <f>SUM(K702:K705)</f>
        <v>22832</v>
      </c>
      <c r="L706" s="65">
        <f>SUM(L702:L705)</f>
        <v>0</v>
      </c>
      <c r="M706" s="65">
        <f t="shared" ref="M706:W706" si="210">SUM(M702:M705)</f>
        <v>0</v>
      </c>
      <c r="N706" s="65">
        <f t="shared" si="210"/>
        <v>30000</v>
      </c>
      <c r="O706" s="65">
        <f t="shared" si="210"/>
        <v>0</v>
      </c>
      <c r="P706" s="65">
        <f t="shared" si="210"/>
        <v>0</v>
      </c>
      <c r="Q706" s="65">
        <f t="shared" si="210"/>
        <v>0</v>
      </c>
      <c r="R706" s="65">
        <f t="shared" si="210"/>
        <v>0</v>
      </c>
      <c r="S706" s="65">
        <f t="shared" si="210"/>
        <v>0</v>
      </c>
      <c r="T706" s="65">
        <f t="shared" si="210"/>
        <v>0</v>
      </c>
      <c r="U706" s="65">
        <f t="shared" si="210"/>
        <v>0</v>
      </c>
      <c r="V706" s="65">
        <f t="shared" si="210"/>
        <v>0</v>
      </c>
      <c r="W706" s="65">
        <f t="shared" si="210"/>
        <v>0</v>
      </c>
      <c r="X706" s="375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51">
        <v>76</v>
      </c>
      <c r="B707" s="472" t="s">
        <v>111</v>
      </c>
      <c r="C707" s="428">
        <v>2019</v>
      </c>
      <c r="D707" s="445">
        <v>2021</v>
      </c>
      <c r="E707" s="412" t="s">
        <v>27</v>
      </c>
      <c r="F707" s="413">
        <v>0</v>
      </c>
      <c r="G707" s="418">
        <v>90095</v>
      </c>
      <c r="H707" s="104">
        <v>6050</v>
      </c>
      <c r="I707" s="114" t="s">
        <v>28</v>
      </c>
      <c r="J707" s="100">
        <v>30000</v>
      </c>
      <c r="K707" s="100">
        <v>105400</v>
      </c>
      <c r="L707" s="100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76">
        <f>SUM(L711:P711)</f>
        <v>0</v>
      </c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51"/>
      <c r="B708" s="472"/>
      <c r="C708" s="428"/>
      <c r="D708" s="445"/>
      <c r="E708" s="412"/>
      <c r="F708" s="413"/>
      <c r="G708" s="418"/>
      <c r="H708" s="104"/>
      <c r="I708" s="114" t="s">
        <v>31</v>
      </c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76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51"/>
      <c r="B709" s="472"/>
      <c r="C709" s="428"/>
      <c r="D709" s="445"/>
      <c r="E709" s="412"/>
      <c r="F709" s="413"/>
      <c r="G709" s="418"/>
      <c r="H709" s="104"/>
      <c r="I709" s="114" t="s">
        <v>30</v>
      </c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376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2.75" hidden="1" customHeight="1">
      <c r="A710" s="351"/>
      <c r="B710" s="472"/>
      <c r="C710" s="428"/>
      <c r="D710" s="445"/>
      <c r="E710" s="412"/>
      <c r="F710" s="413"/>
      <c r="G710" s="418"/>
      <c r="H710" s="104"/>
      <c r="I710" s="92" t="s">
        <v>70</v>
      </c>
      <c r="J710" s="98"/>
      <c r="K710" s="100">
        <v>18627</v>
      </c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376"/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2.75" hidden="1" customHeight="1">
      <c r="A711" s="351"/>
      <c r="B711" s="472"/>
      <c r="C711" s="428"/>
      <c r="D711" s="445"/>
      <c r="E711" s="412"/>
      <c r="F711" s="413"/>
      <c r="G711" s="418"/>
      <c r="H711" s="104"/>
      <c r="I711" s="101" t="s">
        <v>26</v>
      </c>
      <c r="J711" s="102">
        <f>SUM(J707:J710)</f>
        <v>30000</v>
      </c>
      <c r="K711" s="102">
        <f>SUM(K707:K710)</f>
        <v>124027</v>
      </c>
      <c r="L711" s="102">
        <f>SUM(L707:L710)</f>
        <v>0</v>
      </c>
      <c r="M711" s="102">
        <f t="shared" ref="M711:W711" si="211">SUM(M707:M710)</f>
        <v>0</v>
      </c>
      <c r="N711" s="102">
        <f t="shared" si="211"/>
        <v>0</v>
      </c>
      <c r="O711" s="102">
        <f t="shared" si="211"/>
        <v>0</v>
      </c>
      <c r="P711" s="102">
        <f t="shared" si="211"/>
        <v>0</v>
      </c>
      <c r="Q711" s="102">
        <f t="shared" si="211"/>
        <v>0</v>
      </c>
      <c r="R711" s="102">
        <f t="shared" si="211"/>
        <v>0</v>
      </c>
      <c r="S711" s="102">
        <f t="shared" si="211"/>
        <v>0</v>
      </c>
      <c r="T711" s="102">
        <f t="shared" si="211"/>
        <v>0</v>
      </c>
      <c r="U711" s="102">
        <f t="shared" si="211"/>
        <v>0</v>
      </c>
      <c r="V711" s="102">
        <f t="shared" si="211"/>
        <v>0</v>
      </c>
      <c r="W711" s="102">
        <f t="shared" si="211"/>
        <v>0</v>
      </c>
      <c r="X711" s="376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51">
        <v>62</v>
      </c>
      <c r="B712" s="443" t="s">
        <v>255</v>
      </c>
      <c r="C712" s="397">
        <v>2024</v>
      </c>
      <c r="D712" s="355">
        <v>2025</v>
      </c>
      <c r="E712" s="433" t="s">
        <v>27</v>
      </c>
      <c r="F712" s="389"/>
      <c r="G712" s="439">
        <v>90095</v>
      </c>
      <c r="H712" s="86">
        <v>6050</v>
      </c>
      <c r="I712" s="210" t="s">
        <v>28</v>
      </c>
      <c r="J712" s="84">
        <v>50000</v>
      </c>
      <c r="K712" s="62"/>
      <c r="L712" s="84"/>
      <c r="M712" s="84"/>
      <c r="N712" s="84">
        <v>0</v>
      </c>
      <c r="O712" s="62"/>
      <c r="P712" s="62"/>
      <c r="Q712" s="62"/>
      <c r="R712" s="62"/>
      <c r="S712" s="62"/>
      <c r="T712" s="62"/>
      <c r="U712" s="62"/>
      <c r="V712" s="62"/>
      <c r="W712" s="62"/>
      <c r="X712" s="375">
        <f>SUM(L716:W716)</f>
        <v>0</v>
      </c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51"/>
      <c r="B713" s="443"/>
      <c r="C713" s="397"/>
      <c r="D713" s="355"/>
      <c r="E713" s="433"/>
      <c r="F713" s="389"/>
      <c r="G713" s="439"/>
      <c r="H713" s="86"/>
      <c r="I713" s="210" t="s">
        <v>31</v>
      </c>
      <c r="J713" s="62"/>
      <c r="K713" s="62"/>
      <c r="L713" s="62"/>
      <c r="M713" s="84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75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51"/>
      <c r="B714" s="443"/>
      <c r="C714" s="397"/>
      <c r="D714" s="355"/>
      <c r="E714" s="433"/>
      <c r="F714" s="389"/>
      <c r="G714" s="439"/>
      <c r="H714" s="86"/>
      <c r="I714" s="210" t="s">
        <v>33</v>
      </c>
      <c r="J714" s="62"/>
      <c r="K714" s="84">
        <v>5000</v>
      </c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375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51"/>
      <c r="B715" s="443"/>
      <c r="C715" s="397"/>
      <c r="D715" s="355"/>
      <c r="E715" s="433"/>
      <c r="F715" s="389"/>
      <c r="G715" s="439"/>
      <c r="H715" s="86"/>
      <c r="I715" s="60" t="s">
        <v>70</v>
      </c>
      <c r="J715" s="62"/>
      <c r="K715" s="84">
        <v>30000</v>
      </c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75"/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51"/>
      <c r="B716" s="443"/>
      <c r="C716" s="397"/>
      <c r="D716" s="355"/>
      <c r="E716" s="433"/>
      <c r="F716" s="389"/>
      <c r="G716" s="439"/>
      <c r="H716" s="86"/>
      <c r="I716" s="64" t="s">
        <v>26</v>
      </c>
      <c r="J716" s="65">
        <f>SUM(J712:J715)</f>
        <v>50000</v>
      </c>
      <c r="K716" s="65">
        <f>SUM(K712:K715)</f>
        <v>35000</v>
      </c>
      <c r="L716" s="65">
        <f>SUM(L712:L715)</f>
        <v>0</v>
      </c>
      <c r="M716" s="65">
        <f t="shared" ref="M716:W716" si="212">SUM(M712:M715)</f>
        <v>0</v>
      </c>
      <c r="N716" s="65">
        <f t="shared" si="212"/>
        <v>0</v>
      </c>
      <c r="O716" s="65">
        <f t="shared" si="212"/>
        <v>0</v>
      </c>
      <c r="P716" s="65">
        <f t="shared" si="212"/>
        <v>0</v>
      </c>
      <c r="Q716" s="65">
        <f t="shared" si="212"/>
        <v>0</v>
      </c>
      <c r="R716" s="65">
        <f t="shared" si="212"/>
        <v>0</v>
      </c>
      <c r="S716" s="65">
        <f t="shared" si="212"/>
        <v>0</v>
      </c>
      <c r="T716" s="65">
        <f t="shared" si="212"/>
        <v>0</v>
      </c>
      <c r="U716" s="65">
        <f t="shared" si="212"/>
        <v>0</v>
      </c>
      <c r="V716" s="65">
        <f t="shared" si="212"/>
        <v>0</v>
      </c>
      <c r="W716" s="65">
        <f t="shared" si="212"/>
        <v>0</v>
      </c>
      <c r="X716" s="375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51">
        <v>63</v>
      </c>
      <c r="B717" s="443" t="s">
        <v>225</v>
      </c>
      <c r="C717" s="397">
        <v>2023</v>
      </c>
      <c r="D717" s="355">
        <v>2024</v>
      </c>
      <c r="E717" s="433" t="s">
        <v>27</v>
      </c>
      <c r="F717" s="389"/>
      <c r="G717" s="439">
        <v>90095</v>
      </c>
      <c r="H717" s="86"/>
      <c r="I717" s="210" t="s">
        <v>28</v>
      </c>
      <c r="J717" s="65"/>
      <c r="K717" s="65"/>
      <c r="L717" s="84"/>
      <c r="M717" s="84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75">
        <f>SUM(L721:W721)</f>
        <v>0</v>
      </c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51"/>
      <c r="B718" s="443"/>
      <c r="C718" s="397"/>
      <c r="D718" s="355"/>
      <c r="E718" s="433"/>
      <c r="F718" s="389"/>
      <c r="G718" s="439"/>
      <c r="H718" s="86"/>
      <c r="I718" s="210" t="s">
        <v>31</v>
      </c>
      <c r="J718" s="65"/>
      <c r="K718" s="65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75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1.25" hidden="1" customHeight="1">
      <c r="A719" s="351"/>
      <c r="B719" s="443"/>
      <c r="C719" s="397"/>
      <c r="D719" s="355"/>
      <c r="E719" s="433"/>
      <c r="F719" s="389"/>
      <c r="G719" s="439"/>
      <c r="H719" s="86"/>
      <c r="I719" s="210" t="s">
        <v>30</v>
      </c>
      <c r="J719" s="65"/>
      <c r="K719" s="65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375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1.25" hidden="1" customHeight="1">
      <c r="A720" s="351"/>
      <c r="B720" s="443"/>
      <c r="C720" s="397"/>
      <c r="D720" s="355"/>
      <c r="E720" s="433"/>
      <c r="F720" s="389"/>
      <c r="G720" s="439"/>
      <c r="H720" s="86">
        <v>6050</v>
      </c>
      <c r="I720" s="60" t="s">
        <v>70</v>
      </c>
      <c r="J720" s="65"/>
      <c r="K720" s="65"/>
      <c r="L720" s="84"/>
      <c r="M720" s="84">
        <v>0</v>
      </c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75"/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2" hidden="1" customHeight="1">
      <c r="A721" s="351"/>
      <c r="B721" s="443"/>
      <c r="C721" s="397"/>
      <c r="D721" s="355"/>
      <c r="E721" s="433"/>
      <c r="F721" s="389"/>
      <c r="G721" s="439"/>
      <c r="H721" s="86"/>
      <c r="I721" s="64" t="s">
        <v>26</v>
      </c>
      <c r="J721" s="65"/>
      <c r="K721" s="65"/>
      <c r="L721" s="65">
        <f>SUM(L717:L720)</f>
        <v>0</v>
      </c>
      <c r="M721" s="65">
        <f t="shared" ref="M721" si="213">SUM(M717:M720)</f>
        <v>0</v>
      </c>
      <c r="N721" s="65">
        <f t="shared" ref="N721" si="214">SUM(N717:N720)</f>
        <v>0</v>
      </c>
      <c r="O721" s="65">
        <f t="shared" ref="O721" si="215">SUM(O717:O720)</f>
        <v>0</v>
      </c>
      <c r="P721" s="65">
        <f t="shared" ref="P721" si="216">SUM(P717:P720)</f>
        <v>0</v>
      </c>
      <c r="Q721" s="65">
        <f t="shared" ref="Q721" si="217">SUM(Q717:Q720)</f>
        <v>0</v>
      </c>
      <c r="R721" s="65">
        <f t="shared" ref="R721" si="218">SUM(R717:R720)</f>
        <v>0</v>
      </c>
      <c r="S721" s="65">
        <f t="shared" ref="S721" si="219">SUM(S717:S720)</f>
        <v>0</v>
      </c>
      <c r="T721" s="65">
        <f t="shared" ref="T721" si="220">SUM(T717:T720)</f>
        <v>0</v>
      </c>
      <c r="U721" s="65">
        <f t="shared" ref="U721" si="221">SUM(U717:U720)</f>
        <v>0</v>
      </c>
      <c r="V721" s="65">
        <f t="shared" ref="V721" si="222">SUM(V717:V720)</f>
        <v>0</v>
      </c>
      <c r="W721" s="65">
        <f t="shared" ref="W721" si="223">SUM(W717:W720)</f>
        <v>0</v>
      </c>
      <c r="X721" s="375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51">
        <v>80</v>
      </c>
      <c r="B722" s="443" t="s">
        <v>227</v>
      </c>
      <c r="C722" s="397">
        <v>2024</v>
      </c>
      <c r="D722" s="355">
        <v>2025</v>
      </c>
      <c r="E722" s="433" t="s">
        <v>27</v>
      </c>
      <c r="F722" s="389">
        <f>X722</f>
        <v>0</v>
      </c>
      <c r="G722" s="439">
        <v>90095</v>
      </c>
      <c r="H722" s="89">
        <v>6050</v>
      </c>
      <c r="I722" s="210" t="s">
        <v>28</v>
      </c>
      <c r="J722" s="65"/>
      <c r="K722" s="65"/>
      <c r="L722" s="84"/>
      <c r="M722" s="298">
        <v>0</v>
      </c>
      <c r="N722" s="84"/>
      <c r="O722" s="62"/>
      <c r="P722" s="62"/>
      <c r="Q722" s="62"/>
      <c r="R722" s="62"/>
      <c r="S722" s="62"/>
      <c r="T722" s="62"/>
      <c r="U722" s="62"/>
      <c r="V722" s="62"/>
      <c r="W722" s="62"/>
      <c r="X722" s="375">
        <f>SUM(L726:P726)</f>
        <v>0</v>
      </c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51"/>
      <c r="B723" s="443"/>
      <c r="C723" s="397"/>
      <c r="D723" s="355"/>
      <c r="E723" s="433"/>
      <c r="F723" s="389"/>
      <c r="G723" s="439"/>
      <c r="H723" s="86"/>
      <c r="I723" s="210" t="s">
        <v>31</v>
      </c>
      <c r="J723" s="65"/>
      <c r="K723" s="65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75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51"/>
      <c r="B724" s="443"/>
      <c r="C724" s="397"/>
      <c r="D724" s="355"/>
      <c r="E724" s="433"/>
      <c r="F724" s="389"/>
      <c r="G724" s="439"/>
      <c r="H724" s="86"/>
      <c r="I724" s="210" t="s">
        <v>30</v>
      </c>
      <c r="J724" s="65"/>
      <c r="K724" s="65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375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51"/>
      <c r="B725" s="443"/>
      <c r="C725" s="397"/>
      <c r="D725" s="355"/>
      <c r="E725" s="433"/>
      <c r="F725" s="389"/>
      <c r="G725" s="439"/>
      <c r="H725" s="86">
        <v>6050</v>
      </c>
      <c r="I725" s="60" t="s">
        <v>70</v>
      </c>
      <c r="J725" s="65"/>
      <c r="K725" s="65"/>
      <c r="L725" s="84">
        <v>0</v>
      </c>
      <c r="M725" s="298">
        <v>0</v>
      </c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75"/>
      <c r="Y725" s="142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  <c r="BX725" s="96"/>
      <c r="BY725" s="96"/>
      <c r="BZ725" s="96"/>
      <c r="CA725" s="96"/>
      <c r="CB725" s="96"/>
      <c r="CC725" s="96"/>
      <c r="CD725" s="96"/>
      <c r="CE725" s="96"/>
      <c r="CF725" s="96"/>
      <c r="CG725" s="96"/>
      <c r="CH725" s="96"/>
      <c r="CI725" s="96"/>
      <c r="CJ725" s="96"/>
      <c r="CK725" s="96"/>
      <c r="CL725" s="96"/>
      <c r="CM725" s="96"/>
      <c r="CN725" s="96"/>
      <c r="CO725" s="96"/>
      <c r="CP725" s="96"/>
      <c r="CQ725" s="96"/>
      <c r="CR725" s="96"/>
      <c r="CS725" s="96"/>
      <c r="CT725" s="96"/>
      <c r="CU725" s="96"/>
      <c r="CV725" s="96"/>
      <c r="CW725" s="96"/>
      <c r="CX725" s="96"/>
      <c r="CY725" s="96"/>
      <c r="CZ725" s="96"/>
      <c r="DA725" s="96"/>
      <c r="DB725" s="96"/>
      <c r="DC725" s="96"/>
      <c r="DD725" s="96"/>
      <c r="DE725" s="96"/>
      <c r="DF725" s="96"/>
      <c r="DG725" s="96"/>
      <c r="DH725" s="96"/>
      <c r="DI725" s="96"/>
      <c r="DJ725" s="96"/>
      <c r="DK725" s="96"/>
      <c r="DL725" s="96"/>
      <c r="DM725" s="96"/>
      <c r="DN725" s="96"/>
      <c r="DO725" s="96"/>
      <c r="DP725" s="96"/>
      <c r="DQ725" s="96"/>
      <c r="DR725" s="96"/>
      <c r="DS725" s="96"/>
      <c r="DT725" s="96"/>
      <c r="DU725" s="96"/>
      <c r="DV725" s="96"/>
      <c r="DW725" s="96"/>
      <c r="DX725" s="96"/>
      <c r="DY725" s="96"/>
      <c r="DZ725" s="96"/>
      <c r="EA725" s="96"/>
      <c r="EB725" s="96"/>
      <c r="EC725" s="96"/>
      <c r="ED725" s="96"/>
      <c r="EE725" s="96"/>
      <c r="EF725" s="96"/>
      <c r="EG725" s="96"/>
      <c r="EH725" s="96"/>
      <c r="EI725" s="96"/>
      <c r="EJ725" s="96"/>
      <c r="EK725" s="96"/>
      <c r="EL725" s="96"/>
      <c r="EM725" s="96"/>
      <c r="EN725" s="96"/>
      <c r="EO725" s="96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6"/>
      <c r="FL725" s="96"/>
      <c r="FM725" s="96"/>
      <c r="FN725" s="96"/>
      <c r="FO725" s="96"/>
      <c r="FP725" s="96"/>
      <c r="FQ725" s="96"/>
      <c r="FR725" s="96"/>
      <c r="FS725" s="96"/>
      <c r="FT725" s="96"/>
      <c r="FU725" s="96"/>
      <c r="FV725" s="96"/>
      <c r="FW725" s="96"/>
      <c r="FX725" s="96"/>
      <c r="FY725" s="96"/>
      <c r="FZ725" s="96"/>
      <c r="GA725" s="96"/>
      <c r="GB725" s="96"/>
      <c r="GC725" s="96"/>
      <c r="GD725" s="96"/>
      <c r="GE725" s="96"/>
      <c r="GF725" s="96"/>
      <c r="GG725" s="96"/>
      <c r="GH725" s="96"/>
      <c r="GI725" s="96"/>
      <c r="GJ725" s="96"/>
      <c r="GK725" s="96"/>
      <c r="GL725" s="96"/>
      <c r="GM725" s="96"/>
      <c r="GN725" s="96"/>
      <c r="GO725" s="96"/>
      <c r="GP725" s="96"/>
    </row>
    <row r="726" spans="1:198" ht="13.5" hidden="1" customHeight="1">
      <c r="A726" s="351"/>
      <c r="B726" s="443"/>
      <c r="C726" s="397"/>
      <c r="D726" s="355"/>
      <c r="E726" s="433"/>
      <c r="F726" s="389"/>
      <c r="G726" s="439"/>
      <c r="H726" s="86"/>
      <c r="I726" s="64" t="s">
        <v>26</v>
      </c>
      <c r="J726" s="65"/>
      <c r="K726" s="65"/>
      <c r="L726" s="65">
        <f>SUM(L722:L725)</f>
        <v>0</v>
      </c>
      <c r="M726" s="65">
        <f t="shared" ref="M726" si="224">SUM(M722:M725)</f>
        <v>0</v>
      </c>
      <c r="N726" s="65">
        <f t="shared" ref="N726" si="225">SUM(N722:N725)</f>
        <v>0</v>
      </c>
      <c r="O726" s="65">
        <f t="shared" ref="O726" si="226">SUM(O722:O725)</f>
        <v>0</v>
      </c>
      <c r="P726" s="65">
        <f t="shared" ref="P726" si="227">SUM(P722:P725)</f>
        <v>0</v>
      </c>
      <c r="Q726" s="65">
        <f t="shared" ref="Q726" si="228">SUM(Q722:Q725)</f>
        <v>0</v>
      </c>
      <c r="R726" s="65">
        <f t="shared" ref="R726" si="229">SUM(R722:R725)</f>
        <v>0</v>
      </c>
      <c r="S726" s="65">
        <f t="shared" ref="S726" si="230">SUM(S722:S725)</f>
        <v>0</v>
      </c>
      <c r="T726" s="65">
        <f t="shared" ref="T726" si="231">SUM(T722:T725)</f>
        <v>0</v>
      </c>
      <c r="U726" s="65">
        <f t="shared" ref="U726" si="232">SUM(U722:U725)</f>
        <v>0</v>
      </c>
      <c r="V726" s="65">
        <f t="shared" ref="V726" si="233">SUM(V722:V725)</f>
        <v>0</v>
      </c>
      <c r="W726" s="65">
        <f t="shared" ref="W726" si="234">SUM(W722:W725)</f>
        <v>0</v>
      </c>
      <c r="X726" s="375"/>
      <c r="Y726" s="142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  <c r="BX726" s="96"/>
      <c r="BY726" s="96"/>
      <c r="BZ726" s="96"/>
      <c r="CA726" s="96"/>
      <c r="CB726" s="96"/>
      <c r="CC726" s="96"/>
      <c r="CD726" s="96"/>
      <c r="CE726" s="96"/>
      <c r="CF726" s="96"/>
      <c r="CG726" s="96"/>
      <c r="CH726" s="96"/>
      <c r="CI726" s="96"/>
      <c r="CJ726" s="96"/>
      <c r="CK726" s="96"/>
      <c r="CL726" s="96"/>
      <c r="CM726" s="96"/>
      <c r="CN726" s="96"/>
      <c r="CO726" s="96"/>
      <c r="CP726" s="96"/>
      <c r="CQ726" s="96"/>
      <c r="CR726" s="96"/>
      <c r="CS726" s="96"/>
      <c r="CT726" s="96"/>
      <c r="CU726" s="96"/>
      <c r="CV726" s="96"/>
      <c r="CW726" s="96"/>
      <c r="CX726" s="96"/>
      <c r="CY726" s="96"/>
      <c r="CZ726" s="96"/>
      <c r="DA726" s="96"/>
      <c r="DB726" s="96"/>
      <c r="DC726" s="96"/>
      <c r="DD726" s="96"/>
      <c r="DE726" s="96"/>
      <c r="DF726" s="96"/>
      <c r="DG726" s="96"/>
      <c r="DH726" s="96"/>
      <c r="DI726" s="96"/>
      <c r="DJ726" s="96"/>
      <c r="DK726" s="96"/>
      <c r="DL726" s="96"/>
      <c r="DM726" s="96"/>
      <c r="DN726" s="96"/>
      <c r="DO726" s="96"/>
      <c r="DP726" s="96"/>
      <c r="DQ726" s="96"/>
      <c r="DR726" s="96"/>
      <c r="DS726" s="96"/>
      <c r="DT726" s="96"/>
      <c r="DU726" s="96"/>
      <c r="DV726" s="96"/>
      <c r="DW726" s="96"/>
      <c r="DX726" s="96"/>
      <c r="DY726" s="96"/>
      <c r="DZ726" s="96"/>
      <c r="EA726" s="96"/>
      <c r="EB726" s="96"/>
      <c r="EC726" s="96"/>
      <c r="ED726" s="96"/>
      <c r="EE726" s="96"/>
      <c r="EF726" s="96"/>
      <c r="EG726" s="96"/>
      <c r="EH726" s="96"/>
      <c r="EI726" s="96"/>
      <c r="EJ726" s="96"/>
      <c r="EK726" s="96"/>
      <c r="EL726" s="96"/>
      <c r="EM726" s="96"/>
      <c r="EN726" s="96"/>
      <c r="EO726" s="96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6"/>
      <c r="FL726" s="96"/>
      <c r="FM726" s="96"/>
      <c r="FN726" s="96"/>
      <c r="FO726" s="96"/>
      <c r="FP726" s="96"/>
      <c r="FQ726" s="96"/>
      <c r="FR726" s="96"/>
      <c r="FS726" s="96"/>
      <c r="FT726" s="96"/>
      <c r="FU726" s="96"/>
      <c r="FV726" s="96"/>
      <c r="FW726" s="96"/>
      <c r="FX726" s="96"/>
      <c r="FY726" s="96"/>
      <c r="FZ726" s="96"/>
      <c r="GA726" s="96"/>
      <c r="GB726" s="96"/>
      <c r="GC726" s="96"/>
      <c r="GD726" s="96"/>
      <c r="GE726" s="96"/>
      <c r="GF726" s="96"/>
      <c r="GG726" s="96"/>
      <c r="GH726" s="96"/>
      <c r="GI726" s="96"/>
      <c r="GJ726" s="96"/>
      <c r="GK726" s="96"/>
      <c r="GL726" s="96"/>
      <c r="GM726" s="96"/>
      <c r="GN726" s="96"/>
      <c r="GO726" s="96"/>
      <c r="GP726" s="96"/>
    </row>
    <row r="727" spans="1:198" ht="13.5" hidden="1" customHeight="1">
      <c r="A727" s="365">
        <v>54</v>
      </c>
      <c r="B727" s="522" t="s">
        <v>181</v>
      </c>
      <c r="C727" s="566">
        <v>2020</v>
      </c>
      <c r="D727" s="425">
        <v>2023</v>
      </c>
      <c r="E727" s="433" t="s">
        <v>150</v>
      </c>
      <c r="F727" s="440">
        <f>X727</f>
        <v>0</v>
      </c>
      <c r="G727" s="439">
        <v>90095</v>
      </c>
      <c r="H727" s="86">
        <v>6050</v>
      </c>
      <c r="I727" s="58" t="s">
        <v>28</v>
      </c>
      <c r="J727" s="62"/>
      <c r="K727" s="62"/>
      <c r="L727" s="84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75">
        <f>SUM(L731:P731)</f>
        <v>0</v>
      </c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66"/>
      <c r="B728" s="523"/>
      <c r="C728" s="567"/>
      <c r="D728" s="426"/>
      <c r="E728" s="433"/>
      <c r="F728" s="441"/>
      <c r="G728" s="439"/>
      <c r="H728" s="86"/>
      <c r="I728" s="58" t="s">
        <v>31</v>
      </c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75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66"/>
      <c r="B729" s="523"/>
      <c r="C729" s="567"/>
      <c r="D729" s="426"/>
      <c r="E729" s="433"/>
      <c r="F729" s="441"/>
      <c r="G729" s="439"/>
      <c r="H729" s="86"/>
      <c r="I729" s="58" t="s">
        <v>30</v>
      </c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375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66"/>
      <c r="B730" s="523"/>
      <c r="C730" s="567"/>
      <c r="D730" s="426"/>
      <c r="E730" s="433"/>
      <c r="F730" s="441"/>
      <c r="G730" s="439"/>
      <c r="H730" s="86">
        <v>6050</v>
      </c>
      <c r="I730" s="61" t="s">
        <v>70</v>
      </c>
      <c r="J730" s="62"/>
      <c r="K730" s="62"/>
      <c r="L730" s="84"/>
      <c r="M730" s="84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375"/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67"/>
      <c r="B731" s="524"/>
      <c r="C731" s="568"/>
      <c r="D731" s="427"/>
      <c r="E731" s="433"/>
      <c r="F731" s="442"/>
      <c r="G731" s="439"/>
      <c r="I731" s="64" t="s">
        <v>26</v>
      </c>
      <c r="J731" s="65"/>
      <c r="K731" s="65"/>
      <c r="L731" s="65">
        <f>SUM(L727:L730)</f>
        <v>0</v>
      </c>
      <c r="M731" s="65">
        <f t="shared" ref="M731:W731" si="235">SUM(M727:M730)</f>
        <v>0</v>
      </c>
      <c r="N731" s="65">
        <f t="shared" si="235"/>
        <v>0</v>
      </c>
      <c r="O731" s="65">
        <f t="shared" si="235"/>
        <v>0</v>
      </c>
      <c r="P731" s="65">
        <f t="shared" si="235"/>
        <v>0</v>
      </c>
      <c r="Q731" s="65">
        <f t="shared" si="235"/>
        <v>0</v>
      </c>
      <c r="R731" s="65">
        <f t="shared" si="235"/>
        <v>0</v>
      </c>
      <c r="S731" s="65">
        <f t="shared" si="235"/>
        <v>0</v>
      </c>
      <c r="T731" s="65">
        <f t="shared" si="235"/>
        <v>0</v>
      </c>
      <c r="U731" s="65">
        <f t="shared" si="235"/>
        <v>0</v>
      </c>
      <c r="V731" s="65">
        <f t="shared" si="235"/>
        <v>0</v>
      </c>
      <c r="W731" s="65">
        <f t="shared" si="235"/>
        <v>0</v>
      </c>
      <c r="X731" s="375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65">
        <v>82</v>
      </c>
      <c r="B732" s="380" t="s">
        <v>139</v>
      </c>
      <c r="C732" s="388">
        <v>2020</v>
      </c>
      <c r="D732" s="388">
        <v>2022</v>
      </c>
      <c r="E732" s="477" t="s">
        <v>170</v>
      </c>
      <c r="F732" s="368">
        <f>X732</f>
        <v>0</v>
      </c>
      <c r="G732" s="431">
        <v>90095</v>
      </c>
      <c r="I732" s="60" t="s">
        <v>28</v>
      </c>
      <c r="J732" s="77">
        <f>761165-761165</f>
        <v>0</v>
      </c>
      <c r="K732" s="77">
        <f>2165741-2165741</f>
        <v>0</v>
      </c>
      <c r="L732" s="87"/>
      <c r="M732" s="87"/>
      <c r="N732" s="87"/>
      <c r="O732" s="77"/>
      <c r="P732" s="77"/>
      <c r="Q732" s="77"/>
      <c r="R732" s="77"/>
      <c r="S732" s="77"/>
      <c r="T732" s="77"/>
      <c r="U732" s="77"/>
      <c r="V732" s="77"/>
      <c r="W732" s="77"/>
      <c r="X732" s="375">
        <f>SUM(L736:P736)</f>
        <v>0</v>
      </c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66"/>
      <c r="B733" s="380"/>
      <c r="C733" s="388"/>
      <c r="D733" s="388"/>
      <c r="E733" s="477"/>
      <c r="F733" s="368"/>
      <c r="G733" s="431"/>
      <c r="H733" s="89"/>
      <c r="I733" s="60" t="s">
        <v>31</v>
      </c>
      <c r="J733" s="77"/>
      <c r="K733" s="77"/>
      <c r="L733" s="77"/>
      <c r="M733" s="77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75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66"/>
      <c r="B734" s="380"/>
      <c r="C734" s="388"/>
      <c r="D734" s="388"/>
      <c r="E734" s="477"/>
      <c r="F734" s="368"/>
      <c r="G734" s="431"/>
      <c r="H734" s="89"/>
      <c r="I734" s="61" t="s">
        <v>169</v>
      </c>
      <c r="J734" s="71"/>
      <c r="K734" s="71"/>
      <c r="L734" s="87"/>
      <c r="M734" s="70"/>
      <c r="N734" s="77"/>
      <c r="O734" s="70"/>
      <c r="P734" s="70"/>
      <c r="Q734" s="70"/>
      <c r="R734" s="70"/>
      <c r="S734" s="70"/>
      <c r="T734" s="70"/>
      <c r="U734" s="70"/>
      <c r="V734" s="70"/>
      <c r="W734" s="70"/>
      <c r="X734" s="375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66"/>
      <c r="B735" s="380"/>
      <c r="C735" s="388"/>
      <c r="D735" s="388"/>
      <c r="E735" s="477"/>
      <c r="F735" s="368"/>
      <c r="G735" s="431"/>
      <c r="H735" s="89">
        <v>6050</v>
      </c>
      <c r="I735" s="61" t="s">
        <v>168</v>
      </c>
      <c r="J735" s="71"/>
      <c r="K735" s="71"/>
      <c r="L735" s="87"/>
      <c r="M735" s="70"/>
      <c r="N735" s="77"/>
      <c r="O735" s="70"/>
      <c r="P735" s="70"/>
      <c r="Q735" s="70"/>
      <c r="R735" s="70"/>
      <c r="S735" s="70"/>
      <c r="T735" s="70"/>
      <c r="U735" s="70"/>
      <c r="V735" s="70"/>
      <c r="W735" s="70"/>
      <c r="X735" s="375"/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67"/>
      <c r="B736" s="380"/>
      <c r="C736" s="388"/>
      <c r="D736" s="388"/>
      <c r="E736" s="477"/>
      <c r="F736" s="368"/>
      <c r="G736" s="431"/>
      <c r="H736" s="89"/>
      <c r="I736" s="64" t="s">
        <v>26</v>
      </c>
      <c r="J736" s="65">
        <f t="shared" ref="J736:N736" si="236">SUM(J732:J735)</f>
        <v>0</v>
      </c>
      <c r="K736" s="65">
        <f t="shared" si="236"/>
        <v>0</v>
      </c>
      <c r="L736" s="65">
        <f t="shared" si="236"/>
        <v>0</v>
      </c>
      <c r="M736" s="66">
        <f t="shared" si="236"/>
        <v>0</v>
      </c>
      <c r="N736" s="65">
        <f t="shared" si="236"/>
        <v>0</v>
      </c>
      <c r="O736" s="66">
        <f>SUM(O732:O735)</f>
        <v>0</v>
      </c>
      <c r="P736" s="66">
        <f t="shared" ref="P736" si="237">SUM(P732:P735)</f>
        <v>0</v>
      </c>
      <c r="Q736" s="66"/>
      <c r="R736" s="66"/>
      <c r="S736" s="66"/>
      <c r="T736" s="66"/>
      <c r="U736" s="66"/>
      <c r="V736" s="66"/>
      <c r="W736" s="66"/>
      <c r="X736" s="375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51">
        <v>56</v>
      </c>
      <c r="B737" s="378" t="s">
        <v>193</v>
      </c>
      <c r="C737" s="388">
        <v>2023</v>
      </c>
      <c r="D737" s="388">
        <v>2025</v>
      </c>
      <c r="E737" s="360" t="s">
        <v>258</v>
      </c>
      <c r="F737" s="414">
        <f>528350+X737+401330</f>
        <v>4563350</v>
      </c>
      <c r="G737" s="431">
        <v>90095</v>
      </c>
      <c r="H737" s="89">
        <v>6050</v>
      </c>
      <c r="I737" s="60" t="s">
        <v>28</v>
      </c>
      <c r="J737" s="77">
        <f>761165-761165</f>
        <v>0</v>
      </c>
      <c r="K737" s="77">
        <f>2165741-2165741</f>
        <v>0</v>
      </c>
      <c r="L737" s="87"/>
      <c r="M737" s="325"/>
      <c r="N737" s="87">
        <v>80200</v>
      </c>
      <c r="O737" s="87"/>
      <c r="P737" s="77"/>
      <c r="Q737" s="77"/>
      <c r="R737" s="77"/>
      <c r="S737" s="77"/>
      <c r="T737" s="77"/>
      <c r="U737" s="77"/>
      <c r="V737" s="77"/>
      <c r="W737" s="77"/>
      <c r="X737" s="420">
        <f>SUM(M741:W746)</f>
        <v>3633670</v>
      </c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2" customHeight="1">
      <c r="A738" s="351"/>
      <c r="B738" s="378"/>
      <c r="C738" s="388"/>
      <c r="D738" s="388"/>
      <c r="E738" s="360"/>
      <c r="F738" s="414"/>
      <c r="G738" s="431"/>
      <c r="H738" s="89"/>
      <c r="I738" s="60" t="s">
        <v>31</v>
      </c>
      <c r="J738" s="77"/>
      <c r="K738" s="77"/>
      <c r="L738" s="87"/>
      <c r="M738" s="87"/>
      <c r="N738" s="87"/>
      <c r="O738" s="71"/>
      <c r="P738" s="70"/>
      <c r="Q738" s="70"/>
      <c r="R738" s="70"/>
      <c r="S738" s="70"/>
      <c r="T738" s="70"/>
      <c r="U738" s="70"/>
      <c r="V738" s="70"/>
      <c r="W738" s="70"/>
      <c r="X738" s="420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" customHeight="1">
      <c r="A739" s="351"/>
      <c r="B739" s="378"/>
      <c r="C739" s="388"/>
      <c r="D739" s="388"/>
      <c r="E739" s="360"/>
      <c r="F739" s="414"/>
      <c r="G739" s="431"/>
      <c r="H739" s="89"/>
      <c r="I739" s="60" t="s">
        <v>30</v>
      </c>
      <c r="J739" s="70"/>
      <c r="K739" s="70"/>
      <c r="L739" s="71"/>
      <c r="M739" s="71"/>
      <c r="N739" s="87"/>
      <c r="O739" s="71"/>
      <c r="P739" s="70"/>
      <c r="Q739" s="70"/>
      <c r="R739" s="70"/>
      <c r="S739" s="70"/>
      <c r="T739" s="70"/>
      <c r="U739" s="70"/>
      <c r="V739" s="70"/>
      <c r="W739" s="70"/>
      <c r="X739" s="420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5.75" customHeight="1">
      <c r="A740" s="351"/>
      <c r="B740" s="378"/>
      <c r="C740" s="388"/>
      <c r="D740" s="388"/>
      <c r="E740" s="360"/>
      <c r="F740" s="414"/>
      <c r="G740" s="431"/>
      <c r="H740" s="89">
        <v>6370</v>
      </c>
      <c r="I740" s="60" t="s">
        <v>180</v>
      </c>
      <c r="J740" s="70"/>
      <c r="K740" s="70"/>
      <c r="L740" s="87"/>
      <c r="M740" s="87">
        <v>0</v>
      </c>
      <c r="N740" s="87">
        <v>3553470</v>
      </c>
      <c r="O740" s="71"/>
      <c r="P740" s="70"/>
      <c r="Q740" s="70"/>
      <c r="R740" s="70"/>
      <c r="S740" s="70"/>
      <c r="T740" s="70"/>
      <c r="U740" s="70"/>
      <c r="V740" s="70"/>
      <c r="W740" s="70"/>
      <c r="X740" s="420"/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2.75" customHeight="1">
      <c r="A741" s="351"/>
      <c r="B741" s="378"/>
      <c r="C741" s="388"/>
      <c r="D741" s="388"/>
      <c r="E741" s="360"/>
      <c r="F741" s="414"/>
      <c r="G741" s="431"/>
      <c r="H741" s="89"/>
      <c r="I741" s="64" t="s">
        <v>26</v>
      </c>
      <c r="J741" s="65">
        <f t="shared" ref="J741:N741" si="238">SUM(J737:J740)</f>
        <v>0</v>
      </c>
      <c r="K741" s="65">
        <f t="shared" si="238"/>
        <v>0</v>
      </c>
      <c r="L741" s="65">
        <f t="shared" si="238"/>
        <v>0</v>
      </c>
      <c r="M741" s="66">
        <f t="shared" si="238"/>
        <v>0</v>
      </c>
      <c r="N741" s="65">
        <f t="shared" si="238"/>
        <v>3633670</v>
      </c>
      <c r="O741" s="66">
        <f>SUM(O737:O740)</f>
        <v>0</v>
      </c>
      <c r="P741" s="66">
        <f t="shared" ref="P741" si="239">SUM(P737:P740)</f>
        <v>0</v>
      </c>
      <c r="Q741" s="66"/>
      <c r="R741" s="66"/>
      <c r="S741" s="66"/>
      <c r="T741" s="66"/>
      <c r="U741" s="66"/>
      <c r="V741" s="66"/>
      <c r="W741" s="66"/>
      <c r="X741" s="420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51">
        <v>83</v>
      </c>
      <c r="B742" s="380" t="s">
        <v>167</v>
      </c>
      <c r="C742" s="388">
        <v>2019</v>
      </c>
      <c r="D742" s="388">
        <v>2022</v>
      </c>
      <c r="E742" s="477" t="s">
        <v>27</v>
      </c>
      <c r="F742" s="368">
        <f>X742</f>
        <v>0</v>
      </c>
      <c r="G742" s="431">
        <v>90095</v>
      </c>
      <c r="H742" s="89">
        <v>6050</v>
      </c>
      <c r="I742" s="60" t="s">
        <v>28</v>
      </c>
      <c r="J742" s="77">
        <f>761165-761165</f>
        <v>0</v>
      </c>
      <c r="K742" s="77">
        <f>2165741-2165741</f>
        <v>0</v>
      </c>
      <c r="L742" s="87"/>
      <c r="M742" s="87"/>
      <c r="N742" s="87"/>
      <c r="O742" s="77"/>
      <c r="P742" s="77"/>
      <c r="Q742" s="77"/>
      <c r="R742" s="77"/>
      <c r="S742" s="77"/>
      <c r="T742" s="77"/>
      <c r="U742" s="77"/>
      <c r="V742" s="77"/>
      <c r="W742" s="77"/>
      <c r="X742" s="375">
        <f>SUM(M746:W746)</f>
        <v>0</v>
      </c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51"/>
      <c r="B743" s="380"/>
      <c r="C743" s="388"/>
      <c r="D743" s="388"/>
      <c r="E743" s="477"/>
      <c r="F743" s="368"/>
      <c r="G743" s="431"/>
      <c r="H743" s="89"/>
      <c r="I743" s="60" t="s">
        <v>31</v>
      </c>
      <c r="J743" s="77"/>
      <c r="K743" s="77"/>
      <c r="L743" s="87"/>
      <c r="M743" s="87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75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51"/>
      <c r="B744" s="380"/>
      <c r="C744" s="388"/>
      <c r="D744" s="388"/>
      <c r="E744" s="477"/>
      <c r="F744" s="368"/>
      <c r="G744" s="431"/>
      <c r="H744" s="89"/>
      <c r="I744" s="60" t="s">
        <v>30</v>
      </c>
      <c r="J744" s="70"/>
      <c r="K744" s="70"/>
      <c r="L744" s="71"/>
      <c r="M744" s="71"/>
      <c r="N744" s="87"/>
      <c r="O744" s="70"/>
      <c r="P744" s="70"/>
      <c r="Q744" s="70"/>
      <c r="R744" s="70"/>
      <c r="S744" s="70"/>
      <c r="T744" s="70"/>
      <c r="U744" s="70"/>
      <c r="V744" s="70"/>
      <c r="W744" s="70"/>
      <c r="X744" s="375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51"/>
      <c r="B745" s="380"/>
      <c r="C745" s="388"/>
      <c r="D745" s="388"/>
      <c r="E745" s="477"/>
      <c r="F745" s="368"/>
      <c r="G745" s="431"/>
      <c r="H745" s="89"/>
      <c r="I745" s="60" t="s">
        <v>133</v>
      </c>
      <c r="J745" s="70"/>
      <c r="K745" s="70"/>
      <c r="L745" s="87"/>
      <c r="M745" s="71"/>
      <c r="N745" s="87"/>
      <c r="O745" s="70"/>
      <c r="P745" s="70"/>
      <c r="Q745" s="70"/>
      <c r="R745" s="70"/>
      <c r="S745" s="70"/>
      <c r="T745" s="70"/>
      <c r="U745" s="70"/>
      <c r="V745" s="70"/>
      <c r="W745" s="70"/>
      <c r="X745" s="375"/>
      <c r="Y745" s="149"/>
      <c r="Z745" s="150"/>
      <c r="AA745" s="150"/>
      <c r="AB745" s="150"/>
      <c r="AC745" s="150"/>
      <c r="AD745" s="150"/>
      <c r="AE745" s="150"/>
      <c r="AF745" s="150"/>
      <c r="AG745" s="150"/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  <c r="BI745" s="150"/>
      <c r="BJ745" s="150"/>
      <c r="BK745" s="150"/>
      <c r="BL745" s="150"/>
      <c r="BM745" s="150"/>
      <c r="BN745" s="150"/>
      <c r="BO745" s="150"/>
      <c r="BP745" s="150"/>
      <c r="BQ745" s="150"/>
      <c r="BR745" s="150"/>
      <c r="BS745" s="150"/>
      <c r="BT745" s="150"/>
      <c r="BU745" s="150"/>
      <c r="BV745" s="150"/>
      <c r="BW745" s="150"/>
      <c r="BX745" s="150"/>
      <c r="BY745" s="150"/>
      <c r="BZ745" s="150"/>
      <c r="CA745" s="150"/>
      <c r="CB745" s="150"/>
      <c r="CC745" s="150"/>
      <c r="CD745" s="150"/>
      <c r="CE745" s="150"/>
      <c r="CF745" s="150"/>
      <c r="CG745" s="150"/>
      <c r="CH745" s="150"/>
      <c r="CI745" s="150"/>
      <c r="CJ745" s="150"/>
      <c r="CK745" s="150"/>
      <c r="CL745" s="150"/>
      <c r="CM745" s="150"/>
      <c r="CN745" s="150"/>
      <c r="CO745" s="150"/>
      <c r="CP745" s="150"/>
      <c r="CQ745" s="150"/>
      <c r="CR745" s="150"/>
      <c r="CS745" s="150"/>
      <c r="CT745" s="150"/>
      <c r="CU745" s="150"/>
      <c r="CV745" s="150"/>
      <c r="CW745" s="150"/>
      <c r="CX745" s="150"/>
      <c r="CY745" s="150"/>
      <c r="CZ745" s="150"/>
      <c r="DA745" s="150"/>
      <c r="DB745" s="150"/>
      <c r="DC745" s="150"/>
      <c r="DD745" s="150"/>
      <c r="DE745" s="150"/>
      <c r="DF745" s="150"/>
      <c r="DG745" s="150"/>
      <c r="DH745" s="150"/>
      <c r="DI745" s="150"/>
      <c r="DJ745" s="150"/>
      <c r="DK745" s="150"/>
      <c r="DL745" s="150"/>
      <c r="DM745" s="150"/>
      <c r="DN745" s="150"/>
      <c r="DO745" s="150"/>
      <c r="DP745" s="150"/>
      <c r="DQ745" s="150"/>
      <c r="DR745" s="150"/>
      <c r="DS745" s="150"/>
      <c r="DT745" s="150"/>
      <c r="DU745" s="150"/>
      <c r="DV745" s="150"/>
      <c r="DW745" s="150"/>
      <c r="DX745" s="150"/>
      <c r="DY745" s="150"/>
      <c r="DZ745" s="150"/>
      <c r="EA745" s="150"/>
      <c r="EB745" s="150"/>
      <c r="EC745" s="150"/>
      <c r="ED745" s="150"/>
      <c r="EE745" s="150"/>
      <c r="EF745" s="150"/>
      <c r="EG745" s="150"/>
      <c r="EH745" s="150"/>
      <c r="EI745" s="150"/>
      <c r="EJ745" s="150"/>
      <c r="EK745" s="150"/>
      <c r="EL745" s="150"/>
      <c r="EM745" s="150"/>
      <c r="EN745" s="150"/>
      <c r="EO745" s="150"/>
      <c r="EP745" s="150"/>
      <c r="EQ745" s="150"/>
      <c r="ER745" s="150"/>
      <c r="ES745" s="150"/>
      <c r="ET745" s="150"/>
      <c r="EU745" s="150"/>
      <c r="EV745" s="150"/>
      <c r="EW745" s="150"/>
      <c r="EX745" s="150"/>
      <c r="EY745" s="150"/>
      <c r="EZ745" s="150"/>
      <c r="FA745" s="150"/>
      <c r="FB745" s="150"/>
      <c r="FC745" s="150"/>
      <c r="FD745" s="150"/>
      <c r="FE745" s="150"/>
      <c r="FF745" s="150"/>
      <c r="FG745" s="150"/>
      <c r="FH745" s="150"/>
      <c r="FI745" s="150"/>
      <c r="FJ745" s="150"/>
      <c r="FK745" s="150"/>
      <c r="FL745" s="150"/>
      <c r="FM745" s="150"/>
      <c r="FN745" s="150"/>
      <c r="FO745" s="150"/>
      <c r="FP745" s="150"/>
      <c r="FQ745" s="150"/>
      <c r="FR745" s="150"/>
      <c r="FS745" s="150"/>
      <c r="FT745" s="150"/>
      <c r="FU745" s="150"/>
      <c r="FV745" s="150"/>
      <c r="FW745" s="150"/>
      <c r="FX745" s="150"/>
      <c r="FY745" s="150"/>
      <c r="FZ745" s="150"/>
      <c r="GA745" s="150"/>
      <c r="GB745" s="150"/>
      <c r="GC745" s="150"/>
      <c r="GD745" s="150"/>
      <c r="GE745" s="150"/>
      <c r="GF745" s="150"/>
      <c r="GG745" s="150"/>
      <c r="GH745" s="150"/>
      <c r="GI745" s="150"/>
      <c r="GJ745" s="150"/>
      <c r="GK745" s="150"/>
      <c r="GL745" s="150"/>
      <c r="GM745" s="150"/>
      <c r="GN745" s="150"/>
      <c r="GO745" s="96"/>
      <c r="GP745" s="96"/>
    </row>
    <row r="746" spans="1:198" ht="13.5" hidden="1" customHeight="1">
      <c r="A746" s="351"/>
      <c r="B746" s="380"/>
      <c r="C746" s="388"/>
      <c r="D746" s="388"/>
      <c r="E746" s="477"/>
      <c r="F746" s="368"/>
      <c r="G746" s="431"/>
      <c r="H746" s="89"/>
      <c r="I746" s="64" t="s">
        <v>26</v>
      </c>
      <c r="J746" s="65">
        <f t="shared" ref="J746:N746" si="240">SUM(J742:J745)</f>
        <v>0</v>
      </c>
      <c r="K746" s="65">
        <f t="shared" si="240"/>
        <v>0</v>
      </c>
      <c r="L746" s="65">
        <f t="shared" si="240"/>
        <v>0</v>
      </c>
      <c r="M746" s="66">
        <f t="shared" si="240"/>
        <v>0</v>
      </c>
      <c r="N746" s="65">
        <f t="shared" si="240"/>
        <v>0</v>
      </c>
      <c r="O746" s="66">
        <f>SUM(O742:O745)</f>
        <v>0</v>
      </c>
      <c r="P746" s="66">
        <f t="shared" ref="P746" si="241">SUM(P742:P745)</f>
        <v>0</v>
      </c>
      <c r="Q746" s="66"/>
      <c r="R746" s="66"/>
      <c r="S746" s="66"/>
      <c r="T746" s="66"/>
      <c r="U746" s="66"/>
      <c r="V746" s="66"/>
      <c r="W746" s="66"/>
      <c r="X746" s="375"/>
      <c r="Y746" s="149"/>
      <c r="Z746" s="150"/>
      <c r="AA746" s="150"/>
      <c r="AB746" s="150"/>
      <c r="AC746" s="150"/>
      <c r="AD746" s="150"/>
      <c r="AE746" s="150"/>
      <c r="AF746" s="150"/>
      <c r="AG746" s="150"/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  <c r="BI746" s="150"/>
      <c r="BJ746" s="150"/>
      <c r="BK746" s="150"/>
      <c r="BL746" s="150"/>
      <c r="BM746" s="150"/>
      <c r="BN746" s="150"/>
      <c r="BO746" s="150"/>
      <c r="BP746" s="150"/>
      <c r="BQ746" s="150"/>
      <c r="BR746" s="150"/>
      <c r="BS746" s="150"/>
      <c r="BT746" s="150"/>
      <c r="BU746" s="150"/>
      <c r="BV746" s="150"/>
      <c r="BW746" s="150"/>
      <c r="BX746" s="150"/>
      <c r="BY746" s="150"/>
      <c r="BZ746" s="150"/>
      <c r="CA746" s="150"/>
      <c r="CB746" s="150"/>
      <c r="CC746" s="150"/>
      <c r="CD746" s="150"/>
      <c r="CE746" s="150"/>
      <c r="CF746" s="150"/>
      <c r="CG746" s="150"/>
      <c r="CH746" s="150"/>
      <c r="CI746" s="150"/>
      <c r="CJ746" s="150"/>
      <c r="CK746" s="150"/>
      <c r="CL746" s="150"/>
      <c r="CM746" s="150"/>
      <c r="CN746" s="150"/>
      <c r="CO746" s="150"/>
      <c r="CP746" s="150"/>
      <c r="CQ746" s="150"/>
      <c r="CR746" s="150"/>
      <c r="CS746" s="150"/>
      <c r="CT746" s="150"/>
      <c r="CU746" s="150"/>
      <c r="CV746" s="150"/>
      <c r="CW746" s="150"/>
      <c r="CX746" s="150"/>
      <c r="CY746" s="150"/>
      <c r="CZ746" s="150"/>
      <c r="DA746" s="150"/>
      <c r="DB746" s="150"/>
      <c r="DC746" s="150"/>
      <c r="DD746" s="150"/>
      <c r="DE746" s="150"/>
      <c r="DF746" s="150"/>
      <c r="DG746" s="150"/>
      <c r="DH746" s="150"/>
      <c r="DI746" s="150"/>
      <c r="DJ746" s="150"/>
      <c r="DK746" s="150"/>
      <c r="DL746" s="150"/>
      <c r="DM746" s="150"/>
      <c r="DN746" s="150"/>
      <c r="DO746" s="150"/>
      <c r="DP746" s="150"/>
      <c r="DQ746" s="150"/>
      <c r="DR746" s="150"/>
      <c r="DS746" s="150"/>
      <c r="DT746" s="150"/>
      <c r="DU746" s="150"/>
      <c r="DV746" s="150"/>
      <c r="DW746" s="150"/>
      <c r="DX746" s="150"/>
      <c r="DY746" s="150"/>
      <c r="DZ746" s="150"/>
      <c r="EA746" s="150"/>
      <c r="EB746" s="150"/>
      <c r="EC746" s="150"/>
      <c r="ED746" s="150"/>
      <c r="EE746" s="150"/>
      <c r="EF746" s="150"/>
      <c r="EG746" s="150"/>
      <c r="EH746" s="150"/>
      <c r="EI746" s="150"/>
      <c r="EJ746" s="150"/>
      <c r="EK746" s="150"/>
      <c r="EL746" s="150"/>
      <c r="EM746" s="150"/>
      <c r="EN746" s="150"/>
      <c r="EO746" s="150"/>
      <c r="EP746" s="150"/>
      <c r="EQ746" s="150"/>
      <c r="ER746" s="150"/>
      <c r="ES746" s="150"/>
      <c r="ET746" s="150"/>
      <c r="EU746" s="150"/>
      <c r="EV746" s="150"/>
      <c r="EW746" s="150"/>
      <c r="EX746" s="150"/>
      <c r="EY746" s="150"/>
      <c r="EZ746" s="150"/>
      <c r="FA746" s="150"/>
      <c r="FB746" s="150"/>
      <c r="FC746" s="150"/>
      <c r="FD746" s="150"/>
      <c r="FE746" s="150"/>
      <c r="FF746" s="150"/>
      <c r="FG746" s="150"/>
      <c r="FH746" s="150"/>
      <c r="FI746" s="150"/>
      <c r="FJ746" s="150"/>
      <c r="FK746" s="150"/>
      <c r="FL746" s="150"/>
      <c r="FM746" s="150"/>
      <c r="FN746" s="150"/>
      <c r="FO746" s="150"/>
      <c r="FP746" s="150"/>
      <c r="FQ746" s="150"/>
      <c r="FR746" s="150"/>
      <c r="FS746" s="150"/>
      <c r="FT746" s="150"/>
      <c r="FU746" s="150"/>
      <c r="FV746" s="150"/>
      <c r="FW746" s="150"/>
      <c r="FX746" s="150"/>
      <c r="FY746" s="150"/>
      <c r="FZ746" s="150"/>
      <c r="GA746" s="150"/>
      <c r="GB746" s="150"/>
      <c r="GC746" s="150"/>
      <c r="GD746" s="150"/>
      <c r="GE746" s="150"/>
      <c r="GF746" s="150"/>
      <c r="GG746" s="150"/>
      <c r="GH746" s="150"/>
      <c r="GI746" s="150"/>
      <c r="GJ746" s="150"/>
      <c r="GK746" s="150"/>
      <c r="GL746" s="150"/>
      <c r="GM746" s="150"/>
      <c r="GN746" s="150"/>
      <c r="GO746" s="96"/>
      <c r="GP746" s="96"/>
    </row>
    <row r="747" spans="1:198" ht="13.5" hidden="1" customHeight="1">
      <c r="A747" s="351">
        <v>65</v>
      </c>
      <c r="B747" s="378" t="s">
        <v>65</v>
      </c>
      <c r="C747" s="388">
        <v>2017</v>
      </c>
      <c r="D747" s="388">
        <v>2024</v>
      </c>
      <c r="E747" s="477" t="s">
        <v>27</v>
      </c>
      <c r="F747" s="558"/>
      <c r="G747" s="431">
        <v>92605</v>
      </c>
      <c r="H747" s="89">
        <v>6050</v>
      </c>
      <c r="I747" s="60" t="s">
        <v>28</v>
      </c>
      <c r="J747" s="77">
        <f>761165-761165</f>
        <v>0</v>
      </c>
      <c r="K747" s="77">
        <f>2165741-2165741</f>
        <v>0</v>
      </c>
      <c r="L747" s="87"/>
      <c r="M747" s="325"/>
      <c r="N747" s="87"/>
      <c r="O747" s="77"/>
      <c r="P747" s="77"/>
      <c r="Q747" s="77"/>
      <c r="R747" s="77"/>
      <c r="S747" s="77"/>
      <c r="T747" s="77"/>
      <c r="U747" s="77"/>
      <c r="V747" s="77"/>
      <c r="W747" s="77"/>
      <c r="X747" s="430">
        <f>SUM(L751:W751)</f>
        <v>0</v>
      </c>
      <c r="Y747" s="138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51"/>
      <c r="B748" s="378"/>
      <c r="C748" s="388"/>
      <c r="D748" s="388"/>
      <c r="E748" s="477"/>
      <c r="F748" s="558"/>
      <c r="G748" s="431"/>
      <c r="H748" s="89">
        <v>6050</v>
      </c>
      <c r="I748" s="60" t="s">
        <v>31</v>
      </c>
      <c r="J748" s="77"/>
      <c r="K748" s="77"/>
      <c r="L748" s="87"/>
      <c r="M748" s="87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30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3.5" hidden="1" customHeight="1">
      <c r="A749" s="351"/>
      <c r="B749" s="378"/>
      <c r="C749" s="388"/>
      <c r="D749" s="388"/>
      <c r="E749" s="477"/>
      <c r="F749" s="558"/>
      <c r="G749" s="431"/>
      <c r="H749" s="89"/>
      <c r="I749" s="60" t="s">
        <v>30</v>
      </c>
      <c r="J749" s="70"/>
      <c r="K749" s="70"/>
      <c r="L749" s="71"/>
      <c r="M749" s="71"/>
      <c r="N749" s="87"/>
      <c r="O749" s="70"/>
      <c r="P749" s="70"/>
      <c r="Q749" s="70"/>
      <c r="R749" s="70"/>
      <c r="S749" s="70"/>
      <c r="T749" s="70"/>
      <c r="U749" s="70"/>
      <c r="V749" s="70"/>
      <c r="W749" s="70"/>
      <c r="X749" s="430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51"/>
      <c r="B750" s="378"/>
      <c r="C750" s="388"/>
      <c r="D750" s="388"/>
      <c r="E750" s="477"/>
      <c r="F750" s="558"/>
      <c r="G750" s="431"/>
      <c r="H750" s="89">
        <v>6050</v>
      </c>
      <c r="I750" s="60" t="s">
        <v>133</v>
      </c>
      <c r="J750" s="70"/>
      <c r="K750" s="70"/>
      <c r="L750" s="87"/>
      <c r="M750" s="71"/>
      <c r="N750" s="87"/>
      <c r="O750" s="70"/>
      <c r="P750" s="70"/>
      <c r="Q750" s="70"/>
      <c r="R750" s="70"/>
      <c r="S750" s="70"/>
      <c r="T750" s="70"/>
      <c r="U750" s="70"/>
      <c r="V750" s="70"/>
      <c r="W750" s="70"/>
      <c r="X750" s="430"/>
      <c r="Y750" s="40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" hidden="1" customHeight="1">
      <c r="A751" s="351"/>
      <c r="B751" s="378"/>
      <c r="C751" s="388"/>
      <c r="D751" s="388"/>
      <c r="E751" s="477"/>
      <c r="F751" s="558"/>
      <c r="G751" s="431"/>
      <c r="H751" s="89"/>
      <c r="I751" s="64" t="s">
        <v>26</v>
      </c>
      <c r="J751" s="65">
        <f t="shared" ref="J751:P751" si="242">SUM(J747:J750)</f>
        <v>0</v>
      </c>
      <c r="K751" s="65">
        <f t="shared" ref="K751" si="243">SUM(K747:K750)</f>
        <v>0</v>
      </c>
      <c r="L751" s="65">
        <f t="shared" ref="L751" si="244">SUM(L747:L750)</f>
        <v>0</v>
      </c>
      <c r="M751" s="66">
        <f t="shared" si="242"/>
        <v>0</v>
      </c>
      <c r="N751" s="65">
        <f t="shared" si="242"/>
        <v>0</v>
      </c>
      <c r="O751" s="66">
        <f>SUM(O747:O750)</f>
        <v>0</v>
      </c>
      <c r="P751" s="66">
        <f t="shared" si="242"/>
        <v>0</v>
      </c>
      <c r="Q751" s="66"/>
      <c r="R751" s="66"/>
      <c r="S751" s="66"/>
      <c r="T751" s="66"/>
      <c r="U751" s="66"/>
      <c r="V751" s="66"/>
      <c r="W751" s="66"/>
      <c r="X751" s="430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51">
        <v>57</v>
      </c>
      <c r="B752" s="378" t="s">
        <v>113</v>
      </c>
      <c r="C752" s="388">
        <v>2017</v>
      </c>
      <c r="D752" s="388">
        <v>2029</v>
      </c>
      <c r="E752" s="360" t="s">
        <v>258</v>
      </c>
      <c r="F752" s="419">
        <f>136350+0+X752</f>
        <v>3605776</v>
      </c>
      <c r="G752" s="354">
        <v>92605</v>
      </c>
      <c r="H752" s="89">
        <v>6050</v>
      </c>
      <c r="I752" s="60" t="s">
        <v>28</v>
      </c>
      <c r="J752" s="87">
        <v>27060</v>
      </c>
      <c r="K752" s="87">
        <v>37000</v>
      </c>
      <c r="L752" s="87">
        <v>0</v>
      </c>
      <c r="O752" s="87"/>
      <c r="P752" s="243"/>
      <c r="Q752" s="87">
        <v>968163</v>
      </c>
      <c r="R752" s="87">
        <v>2501263</v>
      </c>
      <c r="S752" s="71"/>
      <c r="T752" s="71"/>
      <c r="U752" s="71"/>
      <c r="V752" s="71"/>
      <c r="W752" s="71"/>
      <c r="X752" s="375">
        <f>SUM(M756:W756)</f>
        <v>3469426</v>
      </c>
      <c r="Y752" s="138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51"/>
      <c r="B753" s="378"/>
      <c r="C753" s="388"/>
      <c r="D753" s="388"/>
      <c r="E753" s="360"/>
      <c r="F753" s="419"/>
      <c r="G753" s="354"/>
      <c r="H753" s="89"/>
      <c r="I753" s="60" t="s">
        <v>31</v>
      </c>
      <c r="J753" s="71"/>
      <c r="K753" s="70"/>
      <c r="L753" s="87">
        <v>0</v>
      </c>
      <c r="M753" s="70"/>
      <c r="N753" s="70"/>
      <c r="O753" s="70"/>
      <c r="P753" s="70"/>
      <c r="Q753" s="70"/>
      <c r="R753" s="71"/>
      <c r="S753" s="71"/>
      <c r="T753" s="70"/>
      <c r="U753" s="70"/>
      <c r="V753" s="70"/>
      <c r="W753" s="70"/>
      <c r="X753" s="375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.75" customHeight="1">
      <c r="A754" s="351"/>
      <c r="B754" s="378"/>
      <c r="C754" s="388"/>
      <c r="D754" s="388"/>
      <c r="E754" s="360"/>
      <c r="F754" s="419"/>
      <c r="G754" s="354"/>
      <c r="H754" s="89"/>
      <c r="I754" s="60" t="s">
        <v>30</v>
      </c>
      <c r="J754" s="71"/>
      <c r="K754" s="70"/>
      <c r="L754" s="71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375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2.75" customHeight="1">
      <c r="A755" s="351"/>
      <c r="B755" s="378"/>
      <c r="C755" s="388"/>
      <c r="D755" s="388"/>
      <c r="E755" s="360"/>
      <c r="F755" s="419"/>
      <c r="G755" s="354"/>
      <c r="H755" s="89"/>
      <c r="I755" s="60" t="s">
        <v>33</v>
      </c>
      <c r="J755" s="71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375"/>
      <c r="Y755" s="40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2" customHeight="1">
      <c r="A756" s="351"/>
      <c r="B756" s="378"/>
      <c r="C756" s="388"/>
      <c r="D756" s="388"/>
      <c r="E756" s="360"/>
      <c r="F756" s="419"/>
      <c r="G756" s="354"/>
      <c r="H756" s="89"/>
      <c r="I756" s="64" t="s">
        <v>26</v>
      </c>
      <c r="J756" s="65">
        <f t="shared" ref="J756:N756" si="245">SUM(J752:J755)</f>
        <v>27060</v>
      </c>
      <c r="K756" s="65">
        <f t="shared" si="245"/>
        <v>37000</v>
      </c>
      <c r="L756" s="65">
        <f t="shared" si="245"/>
        <v>0</v>
      </c>
      <c r="M756" s="65">
        <f t="shared" si="245"/>
        <v>0</v>
      </c>
      <c r="N756" s="66">
        <f t="shared" si="245"/>
        <v>0</v>
      </c>
      <c r="O756" s="65">
        <f>SUM(O752:O755)</f>
        <v>0</v>
      </c>
      <c r="P756" s="65">
        <f>SUM(P752:P755)</f>
        <v>0</v>
      </c>
      <c r="Q756" s="65">
        <f>SUM(Q752:Q755)</f>
        <v>968163</v>
      </c>
      <c r="R756" s="65">
        <f>SUM(R752:R755)</f>
        <v>2501263</v>
      </c>
      <c r="S756" s="65">
        <f>SUM(S752:S755)</f>
        <v>0</v>
      </c>
      <c r="T756" s="65"/>
      <c r="U756" s="65"/>
      <c r="V756" s="65"/>
      <c r="W756" s="65"/>
      <c r="X756" s="375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51">
        <v>53</v>
      </c>
      <c r="B757" s="380" t="s">
        <v>66</v>
      </c>
      <c r="C757" s="379">
        <v>2017</v>
      </c>
      <c r="D757" s="379">
        <v>2026</v>
      </c>
      <c r="E757" s="469" t="s">
        <v>27</v>
      </c>
      <c r="F757" s="386">
        <f>X757</f>
        <v>0</v>
      </c>
      <c r="G757" s="352">
        <v>92605</v>
      </c>
      <c r="H757" s="154">
        <v>6050</v>
      </c>
      <c r="I757" s="163" t="s">
        <v>28</v>
      </c>
      <c r="J757" s="157">
        <v>0</v>
      </c>
      <c r="K757" s="156">
        <v>2250</v>
      </c>
      <c r="L757" s="167"/>
      <c r="M757" s="158">
        <v>0</v>
      </c>
      <c r="P757" s="157"/>
      <c r="Q757" s="186"/>
      <c r="R757" s="186"/>
      <c r="S757" s="186"/>
      <c r="T757" s="186"/>
      <c r="U757" s="186"/>
      <c r="V757" s="186"/>
      <c r="W757" s="186"/>
      <c r="X757" s="429">
        <f>SUM(L761:P761)</f>
        <v>0</v>
      </c>
      <c r="Y757" s="141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51"/>
      <c r="B758" s="380"/>
      <c r="C758" s="379"/>
      <c r="D758" s="379"/>
      <c r="E758" s="469"/>
      <c r="F758" s="386"/>
      <c r="G758" s="352"/>
      <c r="H758" s="154"/>
      <c r="I758" s="163" t="s">
        <v>31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429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51"/>
      <c r="B759" s="380"/>
      <c r="C759" s="379"/>
      <c r="D759" s="379"/>
      <c r="E759" s="469"/>
      <c r="F759" s="386"/>
      <c r="G759" s="352"/>
      <c r="H759" s="154"/>
      <c r="I759" s="163" t="s">
        <v>30</v>
      </c>
      <c r="J759" s="186"/>
      <c r="K759" s="186"/>
      <c r="L759" s="186"/>
      <c r="M759" s="186"/>
      <c r="N759" s="186"/>
      <c r="O759" s="186"/>
      <c r="P759" s="186"/>
      <c r="Q759" s="186"/>
      <c r="R759" s="186"/>
      <c r="S759" s="186"/>
      <c r="T759" s="186"/>
      <c r="U759" s="186"/>
      <c r="V759" s="186"/>
      <c r="W759" s="186"/>
      <c r="X759" s="429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51"/>
      <c r="B760" s="380"/>
      <c r="C760" s="379"/>
      <c r="D760" s="379"/>
      <c r="E760" s="469"/>
      <c r="F760" s="386"/>
      <c r="G760" s="352"/>
      <c r="H760" s="201"/>
      <c r="I760" s="163" t="s">
        <v>33</v>
      </c>
      <c r="J760" s="186"/>
      <c r="K760" s="186"/>
      <c r="L760" s="186"/>
      <c r="M760" s="186"/>
      <c r="N760" s="186"/>
      <c r="O760" s="186"/>
      <c r="P760" s="186"/>
      <c r="Q760" s="186"/>
      <c r="R760" s="186"/>
      <c r="S760" s="186"/>
      <c r="T760" s="186"/>
      <c r="U760" s="186"/>
      <c r="V760" s="186"/>
      <c r="W760" s="186"/>
      <c r="X760" s="429"/>
      <c r="Y760" s="40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51"/>
      <c r="B761" s="380"/>
      <c r="C761" s="379"/>
      <c r="D761" s="379"/>
      <c r="E761" s="469"/>
      <c r="F761" s="386"/>
      <c r="G761" s="352"/>
      <c r="H761" s="159"/>
      <c r="I761" s="160" t="s">
        <v>26</v>
      </c>
      <c r="J761" s="161">
        <f t="shared" ref="J761:M761" si="246">SUM(J757:J760)</f>
        <v>0</v>
      </c>
      <c r="K761" s="161">
        <f t="shared" si="246"/>
        <v>2250</v>
      </c>
      <c r="L761" s="161">
        <f t="shared" si="246"/>
        <v>0</v>
      </c>
      <c r="M761" s="161">
        <f t="shared" si="246"/>
        <v>0</v>
      </c>
      <c r="N761" s="162">
        <f>SUM(N757:N760)</f>
        <v>0</v>
      </c>
      <c r="O761" s="162">
        <f>SUM(O757:O760)</f>
        <v>0</v>
      </c>
      <c r="P761" s="162">
        <f>SUM(P757:P760)</f>
        <v>0</v>
      </c>
      <c r="Q761" s="162"/>
      <c r="R761" s="162"/>
      <c r="S761" s="162"/>
      <c r="T761" s="162"/>
      <c r="U761" s="162"/>
      <c r="V761" s="162"/>
      <c r="W761" s="162"/>
      <c r="X761" s="429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51">
        <v>54</v>
      </c>
      <c r="B762" s="380" t="s">
        <v>112</v>
      </c>
      <c r="C762" s="379">
        <v>2013</v>
      </c>
      <c r="D762" s="379">
        <v>2028</v>
      </c>
      <c r="E762" s="469" t="s">
        <v>27</v>
      </c>
      <c r="F762" s="419">
        <f>X762</f>
        <v>0</v>
      </c>
      <c r="G762" s="352">
        <v>92605</v>
      </c>
      <c r="H762" s="154">
        <v>6050</v>
      </c>
      <c r="I762" s="155" t="s">
        <v>28</v>
      </c>
      <c r="J762" s="157">
        <v>80000</v>
      </c>
      <c r="K762" s="157">
        <v>90000</v>
      </c>
      <c r="L762" s="167"/>
      <c r="M762" s="167"/>
      <c r="N762" s="157"/>
      <c r="P762" s="157"/>
      <c r="Q762" s="157"/>
      <c r="R762" s="157"/>
      <c r="S762" s="164"/>
      <c r="T762" s="157"/>
      <c r="U762" s="157"/>
      <c r="V762" s="157"/>
      <c r="W762" s="157"/>
      <c r="X762" s="429">
        <f>SUM(P766:W766)</f>
        <v>0</v>
      </c>
      <c r="Y762" s="141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51"/>
      <c r="B763" s="380"/>
      <c r="C763" s="379"/>
      <c r="D763" s="379"/>
      <c r="E763" s="469"/>
      <c r="F763" s="419"/>
      <c r="G763" s="352"/>
      <c r="H763" s="154"/>
      <c r="I763" s="155" t="s">
        <v>28</v>
      </c>
      <c r="J763" s="164">
        <v>109090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429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51"/>
      <c r="B764" s="380"/>
      <c r="C764" s="379"/>
      <c r="D764" s="379"/>
      <c r="E764" s="469"/>
      <c r="F764" s="419"/>
      <c r="G764" s="352"/>
      <c r="H764" s="154"/>
      <c r="I764" s="155" t="s">
        <v>30</v>
      </c>
      <c r="J764" s="164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429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3.5" hidden="1" customHeight="1">
      <c r="A765" s="351"/>
      <c r="B765" s="380"/>
      <c r="C765" s="379"/>
      <c r="D765" s="379"/>
      <c r="E765" s="469"/>
      <c r="F765" s="419"/>
      <c r="G765" s="352"/>
      <c r="H765" s="201"/>
      <c r="I765" s="155" t="s">
        <v>33</v>
      </c>
      <c r="J765" s="164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429"/>
      <c r="Y765" s="40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3.5" hidden="1" customHeight="1">
      <c r="A766" s="351"/>
      <c r="B766" s="380"/>
      <c r="C766" s="379"/>
      <c r="D766" s="379"/>
      <c r="E766" s="469"/>
      <c r="F766" s="419"/>
      <c r="G766" s="352"/>
      <c r="H766" s="159"/>
      <c r="I766" s="160" t="s">
        <v>26</v>
      </c>
      <c r="J766" s="161">
        <f t="shared" ref="J766:N766" si="247">SUM(J762:J765)</f>
        <v>189090</v>
      </c>
      <c r="K766" s="162">
        <f t="shared" si="247"/>
        <v>90000</v>
      </c>
      <c r="L766" s="162">
        <f t="shared" si="247"/>
        <v>0</v>
      </c>
      <c r="M766" s="162">
        <f t="shared" si="247"/>
        <v>0</v>
      </c>
      <c r="N766" s="162">
        <f t="shared" si="247"/>
        <v>0</v>
      </c>
      <c r="O766" s="162">
        <f>SUM(O762:O765)</f>
        <v>0</v>
      </c>
      <c r="P766" s="162">
        <f>SUM(P762:P765)</f>
        <v>0</v>
      </c>
      <c r="Q766" s="161">
        <f>SUM(Q762:R762)</f>
        <v>0</v>
      </c>
      <c r="R766" s="161">
        <f>SUM(R762:S762)</f>
        <v>0</v>
      </c>
      <c r="S766" s="162"/>
      <c r="T766" s="162"/>
      <c r="U766" s="162"/>
      <c r="V766" s="162"/>
      <c r="W766" s="162"/>
      <c r="X766" s="429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51">
        <v>58</v>
      </c>
      <c r="B767" s="378" t="s">
        <v>105</v>
      </c>
      <c r="C767" s="379">
        <v>2014</v>
      </c>
      <c r="D767" s="379">
        <v>2029</v>
      </c>
      <c r="E767" s="360" t="s">
        <v>258</v>
      </c>
      <c r="F767" s="419">
        <f>699457+0+X767</f>
        <v>1149457</v>
      </c>
      <c r="G767" s="385">
        <v>92605</v>
      </c>
      <c r="H767" s="154">
        <v>6050</v>
      </c>
      <c r="I767" s="155" t="s">
        <v>28</v>
      </c>
      <c r="J767" s="156">
        <v>59579</v>
      </c>
      <c r="K767" s="157"/>
      <c r="L767" s="158"/>
      <c r="M767" s="158">
        <v>0</v>
      </c>
      <c r="N767" s="157"/>
      <c r="P767" s="164"/>
      <c r="Q767" s="164">
        <v>200000</v>
      </c>
      <c r="R767" s="157">
        <v>250000</v>
      </c>
      <c r="S767" s="157"/>
      <c r="T767" s="164"/>
      <c r="U767" s="164"/>
      <c r="V767" s="157"/>
      <c r="W767" s="157"/>
      <c r="X767" s="483">
        <f>SUM(M771:W771)</f>
        <v>450000</v>
      </c>
      <c r="Y767" s="141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51"/>
      <c r="B768" s="378"/>
      <c r="C768" s="379"/>
      <c r="D768" s="379"/>
      <c r="E768" s="360"/>
      <c r="F768" s="419"/>
      <c r="G768" s="385"/>
      <c r="H768" s="154"/>
      <c r="I768" s="155" t="s">
        <v>31</v>
      </c>
      <c r="J768" s="158"/>
      <c r="K768" s="158"/>
      <c r="L768" s="158"/>
      <c r="M768" s="158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83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2.75" customHeight="1">
      <c r="A769" s="351"/>
      <c r="B769" s="378"/>
      <c r="C769" s="379"/>
      <c r="D769" s="379"/>
      <c r="E769" s="360"/>
      <c r="F769" s="419"/>
      <c r="G769" s="385"/>
      <c r="H769" s="154"/>
      <c r="I769" s="155" t="s">
        <v>30</v>
      </c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483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2.75" customHeight="1">
      <c r="A770" s="351"/>
      <c r="B770" s="378"/>
      <c r="C770" s="379"/>
      <c r="D770" s="379"/>
      <c r="E770" s="360"/>
      <c r="F770" s="419"/>
      <c r="G770" s="385"/>
      <c r="H770" s="154"/>
      <c r="I770" s="155" t="s">
        <v>70</v>
      </c>
      <c r="J770" s="157">
        <v>10000</v>
      </c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483"/>
      <c r="Y770" s="40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0.5" customHeight="1">
      <c r="A771" s="351"/>
      <c r="B771" s="378"/>
      <c r="C771" s="379"/>
      <c r="D771" s="379"/>
      <c r="E771" s="360"/>
      <c r="F771" s="419"/>
      <c r="G771" s="385"/>
      <c r="H771" s="159"/>
      <c r="I771" s="160" t="s">
        <v>26</v>
      </c>
      <c r="J771" s="161">
        <f>SUM(J767:J770)</f>
        <v>69579</v>
      </c>
      <c r="K771" s="161">
        <f t="shared" ref="K771:O771" si="248">SUM(K767:K770)</f>
        <v>0</v>
      </c>
      <c r="L771" s="162">
        <f t="shared" si="248"/>
        <v>0</v>
      </c>
      <c r="M771" s="162">
        <f t="shared" si="248"/>
        <v>0</v>
      </c>
      <c r="N771" s="162">
        <f t="shared" si="248"/>
        <v>0</v>
      </c>
      <c r="O771" s="162">
        <f t="shared" si="248"/>
        <v>0</v>
      </c>
      <c r="P771" s="162">
        <f>SUM(P767:P770)</f>
        <v>0</v>
      </c>
      <c r="Q771" s="161">
        <f>SUM(Q767:Q770)</f>
        <v>200000</v>
      </c>
      <c r="R771" s="161">
        <f t="shared" ref="R771:W771" si="249">SUM(R767:R770)</f>
        <v>250000</v>
      </c>
      <c r="S771" s="161">
        <f t="shared" si="249"/>
        <v>0</v>
      </c>
      <c r="T771" s="161">
        <f t="shared" si="249"/>
        <v>0</v>
      </c>
      <c r="U771" s="161">
        <f t="shared" si="249"/>
        <v>0</v>
      </c>
      <c r="V771" s="161">
        <f t="shared" si="249"/>
        <v>0</v>
      </c>
      <c r="W771" s="161">
        <f t="shared" si="249"/>
        <v>0</v>
      </c>
      <c r="X771" s="483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customHeight="1">
      <c r="A772" s="351">
        <v>59</v>
      </c>
      <c r="B772" s="377" t="s">
        <v>263</v>
      </c>
      <c r="C772" s="434">
        <v>2025</v>
      </c>
      <c r="D772" s="379">
        <v>2027</v>
      </c>
      <c r="E772" s="360" t="s">
        <v>258</v>
      </c>
      <c r="F772" s="386">
        <f>X772</f>
        <v>136000</v>
      </c>
      <c r="G772" s="381"/>
      <c r="H772" s="154">
        <v>6050</v>
      </c>
      <c r="I772" s="163" t="s">
        <v>28</v>
      </c>
      <c r="J772" s="158">
        <v>0</v>
      </c>
      <c r="K772" s="158"/>
      <c r="L772" s="157">
        <v>0</v>
      </c>
      <c r="M772" s="167"/>
      <c r="N772" s="164">
        <v>0</v>
      </c>
      <c r="O772" s="164">
        <v>135000</v>
      </c>
      <c r="P772" s="164">
        <v>1000</v>
      </c>
      <c r="Q772" s="164"/>
      <c r="R772" s="164"/>
      <c r="S772" s="157"/>
      <c r="T772" s="157"/>
      <c r="U772" s="157"/>
      <c r="V772" s="157"/>
      <c r="W772" s="157"/>
      <c r="X772" s="364">
        <f>SUM(L776:W776)</f>
        <v>136000</v>
      </c>
      <c r="Y772" s="141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customHeight="1">
      <c r="A773" s="351"/>
      <c r="B773" s="377"/>
      <c r="C773" s="434"/>
      <c r="D773" s="379"/>
      <c r="E773" s="360"/>
      <c r="F773" s="386"/>
      <c r="G773" s="381"/>
      <c r="H773" s="159"/>
      <c r="I773" s="163" t="s">
        <v>31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364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customHeight="1">
      <c r="A774" s="351"/>
      <c r="B774" s="377"/>
      <c r="C774" s="434"/>
      <c r="D774" s="379"/>
      <c r="E774" s="360"/>
      <c r="F774" s="386"/>
      <c r="G774" s="381"/>
      <c r="H774" s="159"/>
      <c r="I774" s="163" t="s">
        <v>30</v>
      </c>
      <c r="J774" s="157"/>
      <c r="K774" s="157"/>
      <c r="L774" s="157"/>
      <c r="M774" s="157"/>
      <c r="N774" s="157"/>
      <c r="O774" s="164"/>
      <c r="P774" s="157"/>
      <c r="Q774" s="157"/>
      <c r="R774" s="157"/>
      <c r="S774" s="157"/>
      <c r="T774" s="157"/>
      <c r="U774" s="157"/>
      <c r="V774" s="157"/>
      <c r="W774" s="157"/>
      <c r="X774" s="364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customHeight="1">
      <c r="A775" s="351"/>
      <c r="B775" s="377"/>
      <c r="C775" s="434"/>
      <c r="D775" s="379"/>
      <c r="E775" s="360"/>
      <c r="F775" s="386"/>
      <c r="G775" s="381"/>
      <c r="H775" s="154"/>
      <c r="I775" s="155" t="s">
        <v>32</v>
      </c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364"/>
      <c r="Y775" s="40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customHeight="1">
      <c r="A776" s="351"/>
      <c r="B776" s="377"/>
      <c r="C776" s="434"/>
      <c r="D776" s="379"/>
      <c r="E776" s="360"/>
      <c r="F776" s="386"/>
      <c r="G776" s="381"/>
      <c r="H776" s="159"/>
      <c r="I776" s="160" t="s">
        <v>26</v>
      </c>
      <c r="J776" s="161">
        <f t="shared" ref="J776:P776" si="250">SUM(J772:J775)</f>
        <v>0</v>
      </c>
      <c r="K776" s="161">
        <f t="shared" si="250"/>
        <v>0</v>
      </c>
      <c r="L776" s="161">
        <f t="shared" si="250"/>
        <v>0</v>
      </c>
      <c r="M776" s="161">
        <f t="shared" si="250"/>
        <v>0</v>
      </c>
      <c r="N776" s="161">
        <f t="shared" si="250"/>
        <v>0</v>
      </c>
      <c r="O776" s="162">
        <f>SUM(O772:O775)</f>
        <v>135000</v>
      </c>
      <c r="P776" s="162">
        <f t="shared" si="250"/>
        <v>1000</v>
      </c>
      <c r="Q776" s="161">
        <f>SUM(Q772:Q775)</f>
        <v>0</v>
      </c>
      <c r="R776" s="162"/>
      <c r="S776" s="162"/>
      <c r="T776" s="162"/>
      <c r="U776" s="162"/>
      <c r="V776" s="162"/>
      <c r="W776" s="162"/>
      <c r="X776" s="364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51">
        <v>88</v>
      </c>
      <c r="B777" s="380" t="s">
        <v>74</v>
      </c>
      <c r="C777" s="475">
        <v>2014</v>
      </c>
      <c r="D777" s="449">
        <v>2026</v>
      </c>
      <c r="E777" s="463" t="s">
        <v>27</v>
      </c>
      <c r="F777" s="413">
        <v>0</v>
      </c>
      <c r="G777" s="418">
        <v>92605</v>
      </c>
      <c r="H777" s="113">
        <v>6050</v>
      </c>
      <c r="I777" s="114" t="s">
        <v>28</v>
      </c>
      <c r="J777" s="95">
        <v>0</v>
      </c>
      <c r="K777" s="95">
        <v>0</v>
      </c>
      <c r="L777" s="93"/>
      <c r="M777" s="93">
        <v>0</v>
      </c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21">
        <f>SUM(L781:W781)</f>
        <v>0</v>
      </c>
      <c r="Y777" s="141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51"/>
      <c r="B778" s="380"/>
      <c r="C778" s="475"/>
      <c r="D778" s="449"/>
      <c r="E778" s="463"/>
      <c r="F778" s="413"/>
      <c r="G778" s="418"/>
      <c r="H778" s="113"/>
      <c r="I778" s="114" t="s">
        <v>31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21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51"/>
      <c r="B779" s="380"/>
      <c r="C779" s="475"/>
      <c r="D779" s="449"/>
      <c r="E779" s="463"/>
      <c r="F779" s="413"/>
      <c r="G779" s="418"/>
      <c r="H779" s="113"/>
      <c r="I779" s="114" t="s">
        <v>30</v>
      </c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421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51"/>
      <c r="B780" s="380"/>
      <c r="C780" s="475"/>
      <c r="D780" s="449"/>
      <c r="E780" s="463"/>
      <c r="F780" s="413"/>
      <c r="G780" s="418"/>
      <c r="H780" s="113"/>
      <c r="I780" s="114" t="s">
        <v>55</v>
      </c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421"/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51"/>
      <c r="B781" s="380"/>
      <c r="C781" s="475"/>
      <c r="D781" s="449"/>
      <c r="E781" s="463"/>
      <c r="F781" s="413"/>
      <c r="G781" s="418"/>
      <c r="H781" s="151"/>
      <c r="I781" s="145" t="s">
        <v>26</v>
      </c>
      <c r="J781" s="103">
        <f t="shared" ref="J781:O781" si="251">SUM(J777:J780)</f>
        <v>0</v>
      </c>
      <c r="K781" s="103">
        <f t="shared" si="251"/>
        <v>0</v>
      </c>
      <c r="L781" s="103">
        <f t="shared" si="251"/>
        <v>0</v>
      </c>
      <c r="M781" s="103">
        <f t="shared" si="251"/>
        <v>0</v>
      </c>
      <c r="N781" s="103">
        <f t="shared" si="251"/>
        <v>0</v>
      </c>
      <c r="O781" s="103">
        <f t="shared" si="251"/>
        <v>0</v>
      </c>
      <c r="P781" s="103">
        <f>SUM(P777:P780)</f>
        <v>0</v>
      </c>
      <c r="Q781" s="103">
        <f t="shared" ref="Q781:W781" si="252">SUM(Q777:Q780)</f>
        <v>0</v>
      </c>
      <c r="R781" s="103">
        <f t="shared" si="252"/>
        <v>0</v>
      </c>
      <c r="S781" s="103">
        <f t="shared" si="252"/>
        <v>0</v>
      </c>
      <c r="T781" s="103">
        <f t="shared" si="252"/>
        <v>0</v>
      </c>
      <c r="U781" s="103">
        <f t="shared" si="252"/>
        <v>0</v>
      </c>
      <c r="V781" s="103">
        <f t="shared" si="252"/>
        <v>0</v>
      </c>
      <c r="W781" s="103">
        <f t="shared" si="252"/>
        <v>0</v>
      </c>
      <c r="X781" s="421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51">
        <v>90</v>
      </c>
      <c r="B782" s="380" t="s">
        <v>115</v>
      </c>
      <c r="C782" s="379">
        <v>2016</v>
      </c>
      <c r="D782" s="371">
        <v>2022</v>
      </c>
      <c r="E782" s="469" t="s">
        <v>27</v>
      </c>
      <c r="F782" s="386">
        <f>X782</f>
        <v>0</v>
      </c>
      <c r="G782" s="352">
        <v>92605</v>
      </c>
      <c r="H782" s="154">
        <v>6050</v>
      </c>
      <c r="I782" s="163" t="s">
        <v>28</v>
      </c>
      <c r="J782" s="157">
        <f>(12500)+(700000-671835)</f>
        <v>40665</v>
      </c>
      <c r="K782" s="164">
        <f>200000-200000</f>
        <v>0</v>
      </c>
      <c r="L782" s="164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64">
        <f>SUM(L786:W786)</f>
        <v>0</v>
      </c>
      <c r="Y782" s="152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51"/>
      <c r="B783" s="380"/>
      <c r="C783" s="379"/>
      <c r="D783" s="371"/>
      <c r="E783" s="469"/>
      <c r="F783" s="386"/>
      <c r="G783" s="352"/>
      <c r="H783" s="165"/>
      <c r="I783" s="166" t="s">
        <v>28</v>
      </c>
      <c r="J783" s="156">
        <v>357648</v>
      </c>
      <c r="K783" s="16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64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4.25" hidden="1" customHeight="1">
      <c r="A784" s="351"/>
      <c r="B784" s="380"/>
      <c r="C784" s="379"/>
      <c r="D784" s="371"/>
      <c r="E784" s="469"/>
      <c r="F784" s="386"/>
      <c r="G784" s="352"/>
      <c r="H784" s="165"/>
      <c r="I784" s="168" t="s">
        <v>30</v>
      </c>
      <c r="J784" s="169">
        <v>305600</v>
      </c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364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4.25" hidden="1" customHeight="1">
      <c r="A785" s="351"/>
      <c r="B785" s="380"/>
      <c r="C785" s="379"/>
      <c r="D785" s="371"/>
      <c r="E785" s="469"/>
      <c r="F785" s="386"/>
      <c r="G785" s="352"/>
      <c r="H785" s="154"/>
      <c r="I785" s="155" t="s">
        <v>33</v>
      </c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364"/>
      <c r="Y785" s="40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7.5" hidden="1" customHeight="1">
      <c r="A786" s="351"/>
      <c r="B786" s="380"/>
      <c r="C786" s="379"/>
      <c r="D786" s="371"/>
      <c r="E786" s="469"/>
      <c r="F786" s="386"/>
      <c r="G786" s="352"/>
      <c r="H786" s="159"/>
      <c r="I786" s="160" t="s">
        <v>26</v>
      </c>
      <c r="J786" s="161">
        <f t="shared" ref="J786:W786" si="253">SUM(J782:J785)</f>
        <v>703913</v>
      </c>
      <c r="K786" s="161">
        <f>SUM(K782:K785)</f>
        <v>0</v>
      </c>
      <c r="L786" s="161">
        <f t="shared" si="253"/>
        <v>0</v>
      </c>
      <c r="M786" s="161">
        <f t="shared" si="253"/>
        <v>0</v>
      </c>
      <c r="N786" s="161">
        <f t="shared" si="253"/>
        <v>0</v>
      </c>
      <c r="O786" s="161">
        <f t="shared" si="253"/>
        <v>0</v>
      </c>
      <c r="P786" s="162">
        <f t="shared" si="253"/>
        <v>0</v>
      </c>
      <c r="Q786" s="162">
        <f t="shared" si="253"/>
        <v>0</v>
      </c>
      <c r="R786" s="162">
        <f t="shared" si="253"/>
        <v>0</v>
      </c>
      <c r="S786" s="162">
        <f t="shared" si="253"/>
        <v>0</v>
      </c>
      <c r="T786" s="162">
        <f t="shared" si="253"/>
        <v>0</v>
      </c>
      <c r="U786" s="162">
        <f t="shared" si="253"/>
        <v>0</v>
      </c>
      <c r="V786" s="162">
        <f t="shared" si="253"/>
        <v>0</v>
      </c>
      <c r="W786" s="162">
        <f t="shared" si="253"/>
        <v>0</v>
      </c>
      <c r="X786" s="364"/>
      <c r="Y786" s="40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hidden="1" customHeight="1">
      <c r="A787" s="351">
        <v>59</v>
      </c>
      <c r="B787" s="378" t="s">
        <v>137</v>
      </c>
      <c r="C787" s="379">
        <v>2016</v>
      </c>
      <c r="D787" s="371">
        <v>2032</v>
      </c>
      <c r="E787" s="469" t="s">
        <v>27</v>
      </c>
      <c r="F787" s="386">
        <f>X787</f>
        <v>0</v>
      </c>
      <c r="G787" s="352">
        <v>92605</v>
      </c>
      <c r="H787" s="154">
        <v>6050</v>
      </c>
      <c r="I787" s="183" t="s">
        <v>28</v>
      </c>
      <c r="J787" s="203"/>
      <c r="K787" s="203"/>
      <c r="L787" s="164">
        <v>0</v>
      </c>
      <c r="M787" s="164">
        <v>0</v>
      </c>
      <c r="N787" s="157"/>
      <c r="O787" s="164">
        <v>0</v>
      </c>
      <c r="P787" s="164">
        <v>0</v>
      </c>
      <c r="Q787" s="164"/>
      <c r="R787" s="164"/>
      <c r="S787" s="164">
        <v>0</v>
      </c>
      <c r="T787" s="164">
        <v>0</v>
      </c>
      <c r="U787" s="164">
        <v>0</v>
      </c>
      <c r="V787" s="164"/>
      <c r="W787" s="157"/>
      <c r="X787" s="364">
        <f>SUM(L791:W791)</f>
        <v>0</v>
      </c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hidden="1" customHeight="1">
      <c r="A788" s="351"/>
      <c r="B788" s="378"/>
      <c r="C788" s="379"/>
      <c r="D788" s="371"/>
      <c r="E788" s="469"/>
      <c r="F788" s="386"/>
      <c r="G788" s="352"/>
      <c r="H788" s="165"/>
      <c r="I788" s="166" t="s">
        <v>28</v>
      </c>
      <c r="J788" s="204"/>
      <c r="K788" s="205"/>
      <c r="L788" s="157"/>
      <c r="M788" s="157"/>
      <c r="N788" s="157"/>
      <c r="O788" s="164"/>
      <c r="P788" s="164"/>
      <c r="Q788" s="164"/>
      <c r="R788" s="164"/>
      <c r="S788" s="164"/>
      <c r="T788" s="164"/>
      <c r="U788" s="164"/>
      <c r="V788" s="157"/>
      <c r="W788" s="157"/>
      <c r="X788" s="364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hidden="1" customHeight="1">
      <c r="A789" s="351"/>
      <c r="B789" s="378"/>
      <c r="C789" s="379"/>
      <c r="D789" s="371"/>
      <c r="E789" s="469"/>
      <c r="F789" s="386"/>
      <c r="G789" s="352"/>
      <c r="H789" s="165"/>
      <c r="I789" s="168" t="s">
        <v>30</v>
      </c>
      <c r="J789" s="202"/>
      <c r="K789" s="202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364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t="12.75" hidden="1" customHeight="1">
      <c r="A790" s="351"/>
      <c r="B790" s="378"/>
      <c r="C790" s="379"/>
      <c r="D790" s="371"/>
      <c r="E790" s="469"/>
      <c r="F790" s="386"/>
      <c r="G790" s="352"/>
      <c r="I790" s="155" t="s">
        <v>55</v>
      </c>
      <c r="J790" s="202"/>
      <c r="K790" s="202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364"/>
      <c r="Y790" s="153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  <c r="BX790" s="96"/>
      <c r="BY790" s="96"/>
      <c r="BZ790" s="96"/>
      <c r="CA790" s="96"/>
      <c r="CB790" s="96"/>
      <c r="CC790" s="96"/>
      <c r="CD790" s="96"/>
      <c r="CE790" s="96"/>
      <c r="CF790" s="96"/>
      <c r="CG790" s="96"/>
      <c r="CH790" s="96"/>
      <c r="CI790" s="96"/>
      <c r="CJ790" s="96"/>
      <c r="CK790" s="96"/>
      <c r="CL790" s="96"/>
      <c r="CM790" s="96"/>
      <c r="CN790" s="96"/>
      <c r="CO790" s="96"/>
      <c r="CP790" s="96"/>
      <c r="CQ790" s="96"/>
      <c r="CR790" s="96"/>
      <c r="CS790" s="96"/>
      <c r="CT790" s="96"/>
      <c r="CU790" s="96"/>
      <c r="CV790" s="96"/>
      <c r="CW790" s="96"/>
      <c r="CX790" s="96"/>
      <c r="CY790" s="96"/>
      <c r="CZ790" s="96"/>
      <c r="DA790" s="96"/>
      <c r="DB790" s="96"/>
      <c r="DC790" s="96"/>
      <c r="DD790" s="96"/>
      <c r="DE790" s="96"/>
      <c r="DF790" s="96"/>
      <c r="DG790" s="96"/>
      <c r="DH790" s="96"/>
      <c r="DI790" s="96"/>
      <c r="DJ790" s="96"/>
      <c r="DK790" s="96"/>
      <c r="DL790" s="96"/>
      <c r="DM790" s="96"/>
      <c r="DN790" s="96"/>
      <c r="DO790" s="96"/>
      <c r="DP790" s="96"/>
      <c r="DQ790" s="96"/>
      <c r="DR790" s="96"/>
      <c r="DS790" s="96"/>
      <c r="DT790" s="96"/>
      <c r="DU790" s="96"/>
      <c r="DV790" s="96"/>
      <c r="DW790" s="96"/>
      <c r="DX790" s="96"/>
      <c r="DY790" s="96"/>
      <c r="DZ790" s="96"/>
      <c r="EA790" s="96"/>
      <c r="EB790" s="96"/>
      <c r="EC790" s="96"/>
      <c r="ED790" s="96"/>
      <c r="EE790" s="96"/>
      <c r="EF790" s="96"/>
      <c r="EG790" s="96"/>
      <c r="EH790" s="96"/>
      <c r="EI790" s="96"/>
      <c r="EJ790" s="96"/>
      <c r="EK790" s="96"/>
      <c r="EL790" s="96"/>
      <c r="EM790" s="96"/>
      <c r="EN790" s="96"/>
      <c r="EO790" s="96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6"/>
      <c r="FL790" s="96"/>
      <c r="FM790" s="96"/>
      <c r="FN790" s="96"/>
      <c r="FO790" s="96"/>
      <c r="FP790" s="96"/>
      <c r="FQ790" s="96"/>
      <c r="FR790" s="96"/>
      <c r="FS790" s="96"/>
      <c r="FT790" s="96"/>
      <c r="FU790" s="96"/>
      <c r="FV790" s="96"/>
      <c r="FW790" s="96"/>
      <c r="FX790" s="96"/>
      <c r="FY790" s="96"/>
      <c r="FZ790" s="96"/>
      <c r="GA790" s="96"/>
      <c r="GB790" s="96"/>
      <c r="GC790" s="96"/>
      <c r="GD790" s="96"/>
      <c r="GE790" s="96"/>
      <c r="GF790" s="96"/>
      <c r="GG790" s="96"/>
      <c r="GH790" s="96"/>
      <c r="GI790" s="96"/>
      <c r="GJ790" s="96"/>
      <c r="GK790" s="96"/>
      <c r="GL790" s="96"/>
      <c r="GM790" s="96"/>
      <c r="GN790" s="96"/>
      <c r="GO790" s="96"/>
      <c r="GP790" s="96"/>
    </row>
    <row r="791" spans="1:198" ht="12.75" hidden="1" customHeight="1">
      <c r="A791" s="351"/>
      <c r="B791" s="378"/>
      <c r="C791" s="379"/>
      <c r="D791" s="371"/>
      <c r="E791" s="469"/>
      <c r="F791" s="386"/>
      <c r="G791" s="352"/>
      <c r="H791" s="159"/>
      <c r="I791" s="160" t="s">
        <v>26</v>
      </c>
      <c r="J791" s="202"/>
      <c r="K791" s="202"/>
      <c r="L791" s="161">
        <f t="shared" ref="L791:W791" si="254">SUM(L787:L790)</f>
        <v>0</v>
      </c>
      <c r="M791" s="161">
        <f t="shared" si="254"/>
        <v>0</v>
      </c>
      <c r="N791" s="161">
        <f t="shared" si="254"/>
        <v>0</v>
      </c>
      <c r="O791" s="161">
        <f t="shared" si="254"/>
        <v>0</v>
      </c>
      <c r="P791" s="161">
        <f t="shared" si="254"/>
        <v>0</v>
      </c>
      <c r="Q791" s="161">
        <f t="shared" si="254"/>
        <v>0</v>
      </c>
      <c r="R791" s="161">
        <f t="shared" si="254"/>
        <v>0</v>
      </c>
      <c r="S791" s="161">
        <f t="shared" si="254"/>
        <v>0</v>
      </c>
      <c r="T791" s="161">
        <f t="shared" si="254"/>
        <v>0</v>
      </c>
      <c r="U791" s="161">
        <f t="shared" si="254"/>
        <v>0</v>
      </c>
      <c r="V791" s="162">
        <f t="shared" si="254"/>
        <v>0</v>
      </c>
      <c r="W791" s="162">
        <f t="shared" si="254"/>
        <v>0</v>
      </c>
      <c r="X791" s="364"/>
      <c r="Y791" s="153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  <c r="BX791" s="96"/>
      <c r="BY791" s="96"/>
      <c r="BZ791" s="96"/>
      <c r="CA791" s="96"/>
      <c r="CB791" s="96"/>
      <c r="CC791" s="96"/>
      <c r="CD791" s="96"/>
      <c r="CE791" s="96"/>
      <c r="CF791" s="96"/>
      <c r="CG791" s="96"/>
      <c r="CH791" s="96"/>
      <c r="CI791" s="96"/>
      <c r="CJ791" s="96"/>
      <c r="CK791" s="96"/>
      <c r="CL791" s="96"/>
      <c r="CM791" s="96"/>
      <c r="CN791" s="96"/>
      <c r="CO791" s="96"/>
      <c r="CP791" s="96"/>
      <c r="CQ791" s="96"/>
      <c r="CR791" s="96"/>
      <c r="CS791" s="96"/>
      <c r="CT791" s="96"/>
      <c r="CU791" s="96"/>
      <c r="CV791" s="96"/>
      <c r="CW791" s="96"/>
      <c r="CX791" s="96"/>
      <c r="CY791" s="96"/>
      <c r="CZ791" s="96"/>
      <c r="DA791" s="96"/>
      <c r="DB791" s="96"/>
      <c r="DC791" s="96"/>
      <c r="DD791" s="96"/>
      <c r="DE791" s="96"/>
      <c r="DF791" s="96"/>
      <c r="DG791" s="96"/>
      <c r="DH791" s="96"/>
      <c r="DI791" s="96"/>
      <c r="DJ791" s="96"/>
      <c r="DK791" s="96"/>
      <c r="DL791" s="96"/>
      <c r="DM791" s="96"/>
      <c r="DN791" s="96"/>
      <c r="DO791" s="96"/>
      <c r="DP791" s="96"/>
      <c r="DQ791" s="96"/>
      <c r="DR791" s="96"/>
      <c r="DS791" s="96"/>
      <c r="DT791" s="96"/>
      <c r="DU791" s="96"/>
      <c r="DV791" s="96"/>
      <c r="DW791" s="96"/>
      <c r="DX791" s="96"/>
      <c r="DY791" s="96"/>
      <c r="DZ791" s="96"/>
      <c r="EA791" s="96"/>
      <c r="EB791" s="96"/>
      <c r="EC791" s="96"/>
      <c r="ED791" s="96"/>
      <c r="EE791" s="96"/>
      <c r="EF791" s="96"/>
      <c r="EG791" s="96"/>
      <c r="EH791" s="96"/>
      <c r="EI791" s="96"/>
      <c r="EJ791" s="96"/>
      <c r="EK791" s="96"/>
      <c r="EL791" s="96"/>
      <c r="EM791" s="96"/>
      <c r="EN791" s="96"/>
      <c r="EO791" s="96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6"/>
      <c r="FL791" s="96"/>
      <c r="FM791" s="96"/>
      <c r="FN791" s="96"/>
      <c r="FO791" s="96"/>
      <c r="FP791" s="96"/>
      <c r="FQ791" s="96"/>
      <c r="FR791" s="96"/>
      <c r="FS791" s="96"/>
      <c r="FT791" s="96"/>
      <c r="FU791" s="96"/>
      <c r="FV791" s="96"/>
      <c r="FW791" s="96"/>
      <c r="FX791" s="96"/>
      <c r="FY791" s="96"/>
      <c r="FZ791" s="96"/>
      <c r="GA791" s="96"/>
      <c r="GB791" s="96"/>
      <c r="GC791" s="96"/>
      <c r="GD791" s="96"/>
      <c r="GE791" s="96"/>
      <c r="GF791" s="96"/>
      <c r="GG791" s="96"/>
      <c r="GH791" s="96"/>
      <c r="GI791" s="96"/>
      <c r="GJ791" s="96"/>
      <c r="GK791" s="96"/>
      <c r="GL791" s="96"/>
      <c r="GM791" s="96"/>
      <c r="GN791" s="96"/>
      <c r="GO791" s="96"/>
      <c r="GP791" s="96"/>
    </row>
    <row r="792" spans="1:198">
      <c r="A792" s="55"/>
      <c r="B792" s="23"/>
      <c r="C792" s="23"/>
      <c r="D792" s="23"/>
      <c r="E792" s="23"/>
      <c r="F792" s="23"/>
      <c r="G792" s="23"/>
      <c r="H792" s="23"/>
      <c r="I792" s="401"/>
      <c r="J792" s="401"/>
      <c r="K792" s="401"/>
      <c r="L792" s="401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t="15" customHeight="1">
      <c r="A793" s="55"/>
      <c r="B793" s="23"/>
      <c r="C793" s="23"/>
      <c r="D793" s="23"/>
      <c r="E793" s="23"/>
      <c r="F793" s="23"/>
      <c r="G793" s="23"/>
      <c r="H793" s="23"/>
      <c r="I793" s="401"/>
      <c r="J793" s="401"/>
      <c r="K793" s="401"/>
      <c r="L793" s="401"/>
      <c r="M793" s="245"/>
      <c r="N793" s="245"/>
      <c r="O793" s="245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>
      <c r="A794" s="55"/>
      <c r="B794" s="23"/>
      <c r="C794" s="23"/>
      <c r="D794" s="23"/>
      <c r="E794" s="23"/>
      <c r="F794" s="23"/>
      <c r="G794" s="23"/>
      <c r="H794" s="23"/>
      <c r="I794" s="401"/>
      <c r="J794" s="401"/>
      <c r="K794" s="401"/>
      <c r="L794" s="401"/>
      <c r="M794" s="238"/>
      <c r="N794" s="238"/>
      <c r="O794" s="238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>
      <c r="A846" s="55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</row>
    <row r="847" spans="1:24">
      <c r="A847" s="55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</row>
    <row r="17031" spans="1:24" ht="11.25" customHeight="1">
      <c r="A17031" s="351">
        <v>69</v>
      </c>
      <c r="B17031" s="378" t="s">
        <v>237</v>
      </c>
      <c r="C17031" s="371">
        <v>2023</v>
      </c>
      <c r="D17031" s="371">
        <v>2024</v>
      </c>
      <c r="E17031" s="360" t="s">
        <v>27</v>
      </c>
      <c r="F17031" s="387"/>
      <c r="G17031" s="352">
        <v>92109</v>
      </c>
      <c r="H17031" s="165">
        <v>6050</v>
      </c>
      <c r="I17031" s="183" t="s">
        <v>28</v>
      </c>
      <c r="J17031" s="203"/>
      <c r="K17031" s="203"/>
      <c r="L17031" s="164">
        <v>0</v>
      </c>
      <c r="M17031" s="323">
        <v>0</v>
      </c>
      <c r="N17031" s="157"/>
      <c r="O17031" s="164"/>
      <c r="P17031" s="164"/>
      <c r="Q17031" s="164"/>
      <c r="R17031" s="164"/>
      <c r="S17031" s="164"/>
      <c r="T17031" s="164"/>
      <c r="U17031" s="164"/>
      <c r="V17031" s="157"/>
      <c r="W17031" s="157"/>
      <c r="X17031" s="353">
        <f>SUM(L17035:W17035)</f>
        <v>0</v>
      </c>
    </row>
    <row r="17032" spans="1:24" ht="11.25" customHeight="1">
      <c r="A17032" s="351"/>
      <c r="B17032" s="378"/>
      <c r="C17032" s="371"/>
      <c r="D17032" s="371"/>
      <c r="E17032" s="360"/>
      <c r="F17032" s="387"/>
      <c r="G17032" s="352"/>
      <c r="H17032" s="165"/>
      <c r="I17032" s="166" t="s">
        <v>28</v>
      </c>
      <c r="J17032" s="204"/>
      <c r="K17032" s="205"/>
      <c r="L17032" s="157"/>
      <c r="M17032" s="157"/>
      <c r="N17032" s="157"/>
      <c r="O17032" s="164"/>
      <c r="P17032" s="164"/>
      <c r="Q17032" s="164"/>
      <c r="R17032" s="164"/>
      <c r="S17032" s="164"/>
      <c r="T17032" s="164"/>
      <c r="U17032" s="164"/>
      <c r="V17032" s="157"/>
      <c r="W17032" s="157"/>
      <c r="X17032" s="353"/>
    </row>
    <row r="17033" spans="1:24" ht="11.25" customHeight="1">
      <c r="A17033" s="351"/>
      <c r="B17033" s="378"/>
      <c r="C17033" s="371"/>
      <c r="D17033" s="371"/>
      <c r="E17033" s="360"/>
      <c r="F17033" s="387"/>
      <c r="G17033" s="352"/>
      <c r="H17033" s="165"/>
      <c r="I17033" s="168" t="s">
        <v>30</v>
      </c>
      <c r="J17033" s="202"/>
      <c r="K17033" s="202"/>
      <c r="L17033" s="157"/>
      <c r="M17033" s="157"/>
      <c r="N17033" s="157"/>
      <c r="O17033" s="157"/>
      <c r="P17033" s="157"/>
      <c r="Q17033" s="157"/>
      <c r="R17033" s="157"/>
      <c r="S17033" s="157"/>
      <c r="T17033" s="157"/>
      <c r="U17033" s="157"/>
      <c r="V17033" s="157"/>
      <c r="W17033" s="157"/>
      <c r="X17033" s="353"/>
    </row>
    <row r="17034" spans="1:24" ht="11.25" customHeight="1">
      <c r="A17034" s="351"/>
      <c r="B17034" s="378"/>
      <c r="C17034" s="371"/>
      <c r="D17034" s="371"/>
      <c r="E17034" s="360"/>
      <c r="F17034" s="387"/>
      <c r="G17034" s="352"/>
      <c r="H17034" s="243"/>
      <c r="I17034" s="155" t="s">
        <v>55</v>
      </c>
      <c r="J17034" s="202"/>
      <c r="K17034" s="202"/>
      <c r="L17034" s="157"/>
      <c r="M17034" s="157"/>
      <c r="N17034" s="157"/>
      <c r="O17034" s="157"/>
      <c r="P17034" s="157"/>
      <c r="Q17034" s="157"/>
      <c r="R17034" s="157"/>
      <c r="S17034" s="157"/>
      <c r="T17034" s="157"/>
      <c r="U17034" s="157"/>
      <c r="V17034" s="157"/>
      <c r="W17034" s="157"/>
      <c r="X17034" s="353"/>
    </row>
    <row r="17035" spans="1:24" ht="12.75" customHeight="1">
      <c r="A17035" s="351"/>
      <c r="B17035" s="378"/>
      <c r="C17035" s="371"/>
      <c r="D17035" s="371"/>
      <c r="E17035" s="360"/>
      <c r="F17035" s="387"/>
      <c r="G17035" s="352"/>
      <c r="H17035" s="314"/>
      <c r="I17035" s="160" t="s">
        <v>26</v>
      </c>
      <c r="J17035" s="202"/>
      <c r="K17035" s="202"/>
      <c r="L17035" s="161">
        <f t="shared" ref="L17035:W17035" si="255">SUM(L17031:L17034)</f>
        <v>0</v>
      </c>
      <c r="M17035" s="161">
        <f t="shared" si="255"/>
        <v>0</v>
      </c>
      <c r="N17035" s="161">
        <f t="shared" si="255"/>
        <v>0</v>
      </c>
      <c r="O17035" s="161">
        <f t="shared" si="255"/>
        <v>0</v>
      </c>
      <c r="P17035" s="161">
        <f t="shared" si="255"/>
        <v>0</v>
      </c>
      <c r="Q17035" s="161">
        <f t="shared" si="255"/>
        <v>0</v>
      </c>
      <c r="R17035" s="161">
        <f t="shared" si="255"/>
        <v>0</v>
      </c>
      <c r="S17035" s="161">
        <f t="shared" si="255"/>
        <v>0</v>
      </c>
      <c r="T17035" s="161">
        <f t="shared" si="255"/>
        <v>0</v>
      </c>
      <c r="U17035" s="161">
        <f t="shared" si="255"/>
        <v>0</v>
      </c>
      <c r="V17035" s="162">
        <f t="shared" si="255"/>
        <v>0</v>
      </c>
      <c r="W17035" s="162">
        <f t="shared" si="255"/>
        <v>0</v>
      </c>
      <c r="X17035" s="353"/>
    </row>
    <row r="20558" spans="13:13">
      <c r="M20558" s="315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  <row r="20616" spans="13:13">
      <c r="M20616" s="1"/>
    </row>
    <row r="20617" spans="13:13">
      <c r="M20617" s="1"/>
    </row>
  </sheetData>
  <mergeCells count="1217">
    <mergeCell ref="X231:X235"/>
    <mergeCell ref="X256:X260"/>
    <mergeCell ref="F246:F250"/>
    <mergeCell ref="G276:G280"/>
    <mergeCell ref="G356:G360"/>
    <mergeCell ref="E361:E365"/>
    <mergeCell ref="D456:D460"/>
    <mergeCell ref="E456:E460"/>
    <mergeCell ref="F466:F470"/>
    <mergeCell ref="E476:E480"/>
    <mergeCell ref="E356:E360"/>
    <mergeCell ref="D356:D360"/>
    <mergeCell ref="G516:G520"/>
    <mergeCell ref="F456:F460"/>
    <mergeCell ref="G371:G375"/>
    <mergeCell ref="E386:E390"/>
    <mergeCell ref="X366:X370"/>
    <mergeCell ref="F401:F405"/>
    <mergeCell ref="X446:X450"/>
    <mergeCell ref="X486:X490"/>
    <mergeCell ref="X436:X440"/>
    <mergeCell ref="F396:F400"/>
    <mergeCell ref="X481:X485"/>
    <mergeCell ref="X476:X480"/>
    <mergeCell ref="X491:X495"/>
    <mergeCell ref="X501:X505"/>
    <mergeCell ref="F501:F505"/>
    <mergeCell ref="X451:X455"/>
    <mergeCell ref="E446:E450"/>
    <mergeCell ref="G321:G325"/>
    <mergeCell ref="X286:X290"/>
    <mergeCell ref="X296:X300"/>
    <mergeCell ref="G66:G71"/>
    <mergeCell ref="X66:X71"/>
    <mergeCell ref="X371:X375"/>
    <mergeCell ref="E436:E440"/>
    <mergeCell ref="X526:X530"/>
    <mergeCell ref="X531:X535"/>
    <mergeCell ref="X541:X545"/>
    <mergeCell ref="A556:A560"/>
    <mergeCell ref="D466:D470"/>
    <mergeCell ref="E466:E470"/>
    <mergeCell ref="A481:A485"/>
    <mergeCell ref="B576:B580"/>
    <mergeCell ref="B571:B575"/>
    <mergeCell ref="A476:A480"/>
    <mergeCell ref="B521:B525"/>
    <mergeCell ref="C496:C500"/>
    <mergeCell ref="G481:G485"/>
    <mergeCell ref="E566:E570"/>
    <mergeCell ref="E531:E535"/>
    <mergeCell ref="G571:G575"/>
    <mergeCell ref="G546:G550"/>
    <mergeCell ref="E481:E485"/>
    <mergeCell ref="C571:C575"/>
    <mergeCell ref="D556:D560"/>
    <mergeCell ref="C556:C560"/>
    <mergeCell ref="C541:C545"/>
    <mergeCell ref="F536:F540"/>
    <mergeCell ref="F541:F545"/>
    <mergeCell ref="C526:C530"/>
    <mergeCell ref="D506:D510"/>
    <mergeCell ref="X511:X515"/>
    <mergeCell ref="X571:X575"/>
    <mergeCell ref="A621:A625"/>
    <mergeCell ref="E601:E605"/>
    <mergeCell ref="E621:E625"/>
    <mergeCell ref="C621:C625"/>
    <mergeCell ref="D616:D620"/>
    <mergeCell ref="C692:C696"/>
    <mergeCell ref="D692:D696"/>
    <mergeCell ref="G742:G746"/>
    <mergeCell ref="A732:A736"/>
    <mergeCell ref="F732:F736"/>
    <mergeCell ref="B636:B640"/>
    <mergeCell ref="G687:G691"/>
    <mergeCell ref="B641:B645"/>
    <mergeCell ref="F596:F600"/>
    <mergeCell ref="B606:B610"/>
    <mergeCell ref="A541:A545"/>
    <mergeCell ref="G491:G495"/>
    <mergeCell ref="E692:E696"/>
    <mergeCell ref="F692:F696"/>
    <mergeCell ref="B661:B665"/>
    <mergeCell ref="D661:D665"/>
    <mergeCell ref="G631:G635"/>
    <mergeCell ref="G566:G570"/>
    <mergeCell ref="G556:G560"/>
    <mergeCell ref="F586:F590"/>
    <mergeCell ref="G646:G650"/>
    <mergeCell ref="F621:F625"/>
    <mergeCell ref="F626:F630"/>
    <mergeCell ref="E641:E645"/>
    <mergeCell ref="E631:E635"/>
    <mergeCell ref="C631:C635"/>
    <mergeCell ref="F581:F585"/>
    <mergeCell ref="A681:A686"/>
    <mergeCell ref="G636:G640"/>
    <mergeCell ref="E66:E71"/>
    <mergeCell ref="X737:X741"/>
    <mergeCell ref="C787:C791"/>
    <mergeCell ref="F787:F791"/>
    <mergeCell ref="G787:G791"/>
    <mergeCell ref="B757:B761"/>
    <mergeCell ref="C722:C726"/>
    <mergeCell ref="B717:B721"/>
    <mergeCell ref="A752:A756"/>
    <mergeCell ref="E757:E761"/>
    <mergeCell ref="X767:X771"/>
    <mergeCell ref="G782:G786"/>
    <mergeCell ref="A727:A731"/>
    <mergeCell ref="B727:B731"/>
    <mergeCell ref="C727:C731"/>
    <mergeCell ref="X687:X691"/>
    <mergeCell ref="C646:C650"/>
    <mergeCell ref="D646:D650"/>
    <mergeCell ref="C697:C701"/>
    <mergeCell ref="G702:G706"/>
    <mergeCell ref="G671:G675"/>
    <mergeCell ref="X661:X665"/>
    <mergeCell ref="B651:B655"/>
    <mergeCell ref="C702:C706"/>
    <mergeCell ref="A661:A665"/>
    <mergeCell ref="C681:C686"/>
    <mergeCell ref="B687:B691"/>
    <mergeCell ref="A66:A71"/>
    <mergeCell ref="G747:G751"/>
    <mergeCell ref="B722:B726"/>
    <mergeCell ref="A371:A375"/>
    <mergeCell ref="A48:A52"/>
    <mergeCell ref="B48:B52"/>
    <mergeCell ref="A486:A490"/>
    <mergeCell ref="B486:B490"/>
    <mergeCell ref="C486:C490"/>
    <mergeCell ref="D486:D490"/>
    <mergeCell ref="E486:E490"/>
    <mergeCell ref="F486:F490"/>
    <mergeCell ref="A491:A495"/>
    <mergeCell ref="B491:B495"/>
    <mergeCell ref="C491:C495"/>
    <mergeCell ref="D491:D495"/>
    <mergeCell ref="E491:E495"/>
    <mergeCell ref="F491:F495"/>
    <mergeCell ref="B59:E59"/>
    <mergeCell ref="E546:E550"/>
    <mergeCell ref="D451:D455"/>
    <mergeCell ref="C351:C355"/>
    <mergeCell ref="C536:C540"/>
    <mergeCell ref="B386:B390"/>
    <mergeCell ref="B451:B455"/>
    <mergeCell ref="B541:B545"/>
    <mergeCell ref="D471:D475"/>
    <mergeCell ref="D366:D370"/>
    <mergeCell ref="D386:D390"/>
    <mergeCell ref="E516:E520"/>
    <mergeCell ref="D441:D445"/>
    <mergeCell ref="F351:F355"/>
    <mergeCell ref="C386:C390"/>
    <mergeCell ref="F526:F530"/>
    <mergeCell ref="D501:D505"/>
    <mergeCell ref="X787:X791"/>
    <mergeCell ref="F782:F786"/>
    <mergeCell ref="D742:D746"/>
    <mergeCell ref="E717:E721"/>
    <mergeCell ref="F772:F776"/>
    <mergeCell ref="G772:G776"/>
    <mergeCell ref="A787:A791"/>
    <mergeCell ref="B787:B791"/>
    <mergeCell ref="B752:B756"/>
    <mergeCell ref="D787:D791"/>
    <mergeCell ref="E787:E791"/>
    <mergeCell ref="E782:E786"/>
    <mergeCell ref="F777:F781"/>
    <mergeCell ref="G777:G781"/>
    <mergeCell ref="E777:E781"/>
    <mergeCell ref="D777:D781"/>
    <mergeCell ref="F737:F741"/>
    <mergeCell ref="B772:B776"/>
    <mergeCell ref="C747:C751"/>
    <mergeCell ref="B777:B781"/>
    <mergeCell ref="C757:C761"/>
    <mergeCell ref="A772:A776"/>
    <mergeCell ref="B767:B771"/>
    <mergeCell ref="C777:C781"/>
    <mergeCell ref="A762:A766"/>
    <mergeCell ref="C772:C776"/>
    <mergeCell ref="E762:E766"/>
    <mergeCell ref="F762:F766"/>
    <mergeCell ref="D767:D771"/>
    <mergeCell ref="E767:E771"/>
    <mergeCell ref="E752:E756"/>
    <mergeCell ref="F717:F721"/>
    <mergeCell ref="B692:B696"/>
    <mergeCell ref="A676:A680"/>
    <mergeCell ref="C506:C510"/>
    <mergeCell ref="F651:F655"/>
    <mergeCell ref="A646:A650"/>
    <mergeCell ref="B611:B615"/>
    <mergeCell ref="B581:B585"/>
    <mergeCell ref="F747:F751"/>
    <mergeCell ref="B762:B766"/>
    <mergeCell ref="C762:C766"/>
    <mergeCell ref="D752:D756"/>
    <mergeCell ref="G757:G761"/>
    <mergeCell ref="A707:A711"/>
    <mergeCell ref="B671:B675"/>
    <mergeCell ref="A561:A565"/>
    <mergeCell ref="A571:A575"/>
    <mergeCell ref="A581:A585"/>
    <mergeCell ref="A566:A570"/>
    <mergeCell ref="A586:A590"/>
    <mergeCell ref="D526:D530"/>
    <mergeCell ref="B536:B540"/>
    <mergeCell ref="B556:B560"/>
    <mergeCell ref="C531:C535"/>
    <mergeCell ref="C576:C580"/>
    <mergeCell ref="F576:F580"/>
    <mergeCell ref="A546:A550"/>
    <mergeCell ref="C601:C605"/>
    <mergeCell ref="D546:D550"/>
    <mergeCell ref="F531:F535"/>
    <mergeCell ref="A601:A605"/>
    <mergeCell ref="F631:F635"/>
    <mergeCell ref="E606:E610"/>
    <mergeCell ref="G611:G615"/>
    <mergeCell ref="F561:F565"/>
    <mergeCell ref="G561:G565"/>
    <mergeCell ref="B616:B620"/>
    <mergeCell ref="A611:A615"/>
    <mergeCell ref="C611:C615"/>
    <mergeCell ref="C501:C505"/>
    <mergeCell ref="A426:A430"/>
    <mergeCell ref="C426:C430"/>
    <mergeCell ref="B456:B460"/>
    <mergeCell ref="X536:X540"/>
    <mergeCell ref="E556:E560"/>
    <mergeCell ref="B591:B595"/>
    <mergeCell ref="C596:C600"/>
    <mergeCell ref="G591:G595"/>
    <mergeCell ref="D571:D575"/>
    <mergeCell ref="D566:D570"/>
    <mergeCell ref="B431:B435"/>
    <mergeCell ref="F616:F620"/>
    <mergeCell ref="E611:E615"/>
    <mergeCell ref="F461:F465"/>
    <mergeCell ref="D611:D615"/>
    <mergeCell ref="C481:C485"/>
    <mergeCell ref="D481:D485"/>
    <mergeCell ref="B481:B485"/>
    <mergeCell ref="F611:F615"/>
    <mergeCell ref="X576:X580"/>
    <mergeCell ref="X561:X565"/>
    <mergeCell ref="F566:F570"/>
    <mergeCell ref="A496:A500"/>
    <mergeCell ref="E426:E430"/>
    <mergeCell ref="E506:E510"/>
    <mergeCell ref="G641:G645"/>
    <mergeCell ref="A692:A696"/>
    <mergeCell ref="X596:X600"/>
    <mergeCell ref="B476:B480"/>
    <mergeCell ref="B551:B555"/>
    <mergeCell ref="D536:D540"/>
    <mergeCell ref="G581:G585"/>
    <mergeCell ref="G536:G540"/>
    <mergeCell ref="E541:E545"/>
    <mergeCell ref="B546:B550"/>
    <mergeCell ref="C606:C610"/>
    <mergeCell ref="E461:E465"/>
    <mergeCell ref="E526:E530"/>
    <mergeCell ref="A456:A460"/>
    <mergeCell ref="A431:A435"/>
    <mergeCell ref="C451:C455"/>
    <mergeCell ref="X516:X520"/>
    <mergeCell ref="X441:X445"/>
    <mergeCell ref="C641:C645"/>
    <mergeCell ref="C636:C640"/>
    <mergeCell ref="E661:E665"/>
    <mergeCell ref="X581:X585"/>
    <mergeCell ref="X636:X640"/>
    <mergeCell ref="X641:X645"/>
    <mergeCell ref="B646:B650"/>
    <mergeCell ref="A451:A455"/>
    <mergeCell ref="G446:G450"/>
    <mergeCell ref="B446:B450"/>
    <mergeCell ref="A446:A450"/>
    <mergeCell ref="D446:D450"/>
    <mergeCell ref="D436:D440"/>
    <mergeCell ref="G616:G620"/>
    <mergeCell ref="C591:C595"/>
    <mergeCell ref="G576:G580"/>
    <mergeCell ref="A461:A465"/>
    <mergeCell ref="B461:B465"/>
    <mergeCell ref="D426:D430"/>
    <mergeCell ref="D431:D435"/>
    <mergeCell ref="E441:E445"/>
    <mergeCell ref="E591:E595"/>
    <mergeCell ref="A591:A595"/>
    <mergeCell ref="A551:A555"/>
    <mergeCell ref="C546:C550"/>
    <mergeCell ref="C456:C460"/>
    <mergeCell ref="G426:G430"/>
    <mergeCell ref="F476:F480"/>
    <mergeCell ref="G496:G500"/>
    <mergeCell ref="E521:E525"/>
    <mergeCell ref="E551:E555"/>
    <mergeCell ref="F471:F475"/>
    <mergeCell ref="G471:G475"/>
    <mergeCell ref="G486:G490"/>
    <mergeCell ref="C341:C345"/>
    <mergeCell ref="F341:F345"/>
    <mergeCell ref="E341:E345"/>
    <mergeCell ref="D606:D610"/>
    <mergeCell ref="D591:D595"/>
    <mergeCell ref="E576:E580"/>
    <mergeCell ref="D561:D565"/>
    <mergeCell ref="F496:F500"/>
    <mergeCell ref="F606:F610"/>
    <mergeCell ref="G601:G605"/>
    <mergeCell ref="E401:E405"/>
    <mergeCell ref="F406:F410"/>
    <mergeCell ref="X411:X415"/>
    <mergeCell ref="X521:X525"/>
    <mergeCell ref="X496:X500"/>
    <mergeCell ref="E471:E475"/>
    <mergeCell ref="G401:G405"/>
    <mergeCell ref="G501:G505"/>
    <mergeCell ref="F551:F555"/>
    <mergeCell ref="G396:G400"/>
    <mergeCell ref="E451:E455"/>
    <mergeCell ref="F451:F455"/>
    <mergeCell ref="X421:X425"/>
    <mergeCell ref="F556:F560"/>
    <mergeCell ref="F481:F485"/>
    <mergeCell ref="G551:G555"/>
    <mergeCell ref="D516:D520"/>
    <mergeCell ref="F506:F510"/>
    <mergeCell ref="F441:F445"/>
    <mergeCell ref="G476:G480"/>
    <mergeCell ref="G506:G510"/>
    <mergeCell ref="D551:D555"/>
    <mergeCell ref="B311:B315"/>
    <mergeCell ref="F331:F335"/>
    <mergeCell ref="B331:B335"/>
    <mergeCell ref="C326:C330"/>
    <mergeCell ref="B316:B320"/>
    <mergeCell ref="B356:B360"/>
    <mergeCell ref="C356:C360"/>
    <mergeCell ref="G306:G310"/>
    <mergeCell ref="F336:F340"/>
    <mergeCell ref="G346:G350"/>
    <mergeCell ref="G361:G365"/>
    <mergeCell ref="X391:X395"/>
    <mergeCell ref="X386:X390"/>
    <mergeCell ref="C441:C445"/>
    <mergeCell ref="D411:D415"/>
    <mergeCell ref="C396:C400"/>
    <mergeCell ref="G406:G410"/>
    <mergeCell ref="F436:F440"/>
    <mergeCell ref="E406:E410"/>
    <mergeCell ref="F411:F415"/>
    <mergeCell ref="C436:C440"/>
    <mergeCell ref="B396:B400"/>
    <mergeCell ref="C401:C405"/>
    <mergeCell ref="E306:E310"/>
    <mergeCell ref="C331:C335"/>
    <mergeCell ref="C336:C340"/>
    <mergeCell ref="F391:F395"/>
    <mergeCell ref="E396:E400"/>
    <mergeCell ref="F361:F365"/>
    <mergeCell ref="B376:B380"/>
    <mergeCell ref="C361:C365"/>
    <mergeCell ref="E331:E335"/>
    <mergeCell ref="X291:X295"/>
    <mergeCell ref="X331:X335"/>
    <mergeCell ref="X321:X325"/>
    <mergeCell ref="F286:F290"/>
    <mergeCell ref="F311:F315"/>
    <mergeCell ref="E296:E300"/>
    <mergeCell ref="E286:E290"/>
    <mergeCell ref="F321:F325"/>
    <mergeCell ref="X301:X305"/>
    <mergeCell ref="X401:X405"/>
    <mergeCell ref="G366:G370"/>
    <mergeCell ref="E366:E370"/>
    <mergeCell ref="X396:X400"/>
    <mergeCell ref="F366:F370"/>
    <mergeCell ref="F371:F375"/>
    <mergeCell ref="X376:X380"/>
    <mergeCell ref="G391:G395"/>
    <mergeCell ref="X346:X350"/>
    <mergeCell ref="X336:X340"/>
    <mergeCell ref="E371:E375"/>
    <mergeCell ref="X53:X58"/>
    <mergeCell ref="E60:E65"/>
    <mergeCell ref="X189:X193"/>
    <mergeCell ref="X215:X219"/>
    <mergeCell ref="E189:E193"/>
    <mergeCell ref="F189:F193"/>
    <mergeCell ref="E205:E209"/>
    <mergeCell ref="X105:X110"/>
    <mergeCell ref="X117:X120"/>
    <mergeCell ref="X241:X245"/>
    <mergeCell ref="X246:X250"/>
    <mergeCell ref="X205:X209"/>
    <mergeCell ref="X184:X188"/>
    <mergeCell ref="G143:G147"/>
    <mergeCell ref="E215:E219"/>
    <mergeCell ref="G210:G214"/>
    <mergeCell ref="B66:B71"/>
    <mergeCell ref="C66:C71"/>
    <mergeCell ref="F205:F209"/>
    <mergeCell ref="E210:E214"/>
    <mergeCell ref="G241:G245"/>
    <mergeCell ref="B122:E122"/>
    <mergeCell ref="X236:X240"/>
    <mergeCell ref="F231:F235"/>
    <mergeCell ref="D236:D240"/>
    <mergeCell ref="C53:C58"/>
    <mergeCell ref="B60:B65"/>
    <mergeCell ref="F117:F120"/>
    <mergeCell ref="E99:E104"/>
    <mergeCell ref="B184:B188"/>
    <mergeCell ref="F184:F188"/>
    <mergeCell ref="G220:G225"/>
    <mergeCell ref="A220:A225"/>
    <mergeCell ref="G251:G255"/>
    <mergeCell ref="F236:F240"/>
    <mergeCell ref="E153:E157"/>
    <mergeCell ref="B169:B173"/>
    <mergeCell ref="C205:C209"/>
    <mergeCell ref="D184:D188"/>
    <mergeCell ref="F210:F214"/>
    <mergeCell ref="C169:C173"/>
    <mergeCell ref="B205:B209"/>
    <mergeCell ref="D200:D204"/>
    <mergeCell ref="E169:E173"/>
    <mergeCell ref="C163:C167"/>
    <mergeCell ref="D189:D193"/>
    <mergeCell ref="B158:B162"/>
    <mergeCell ref="F226:F230"/>
    <mergeCell ref="G231:G235"/>
    <mergeCell ref="B241:B245"/>
    <mergeCell ref="C236:C240"/>
    <mergeCell ref="C226:C230"/>
    <mergeCell ref="E226:E230"/>
    <mergeCell ref="A246:A250"/>
    <mergeCell ref="G169:G173"/>
    <mergeCell ref="D153:D157"/>
    <mergeCell ref="F220:F225"/>
    <mergeCell ref="G215:G219"/>
    <mergeCell ref="E179:E183"/>
    <mergeCell ref="B210:B214"/>
    <mergeCell ref="C194:C199"/>
    <mergeCell ref="C189:C193"/>
    <mergeCell ref="D215:D219"/>
    <mergeCell ref="B200:B204"/>
    <mergeCell ref="F266:F270"/>
    <mergeCell ref="D281:D285"/>
    <mergeCell ref="E311:E315"/>
    <mergeCell ref="G296:G300"/>
    <mergeCell ref="F281:F285"/>
    <mergeCell ref="C256:C260"/>
    <mergeCell ref="A311:A315"/>
    <mergeCell ref="B236:B240"/>
    <mergeCell ref="G246:G250"/>
    <mergeCell ref="A296:A300"/>
    <mergeCell ref="A271:A275"/>
    <mergeCell ref="A281:A285"/>
    <mergeCell ref="B281:B285"/>
    <mergeCell ref="A256:A260"/>
    <mergeCell ref="A226:A230"/>
    <mergeCell ref="E236:E240"/>
    <mergeCell ref="E281:E285"/>
    <mergeCell ref="D241:D245"/>
    <mergeCell ref="A286:A290"/>
    <mergeCell ref="D251:D255"/>
    <mergeCell ref="E251:E255"/>
    <mergeCell ref="F271:F275"/>
    <mergeCell ref="G281:G285"/>
    <mergeCell ref="D226:D230"/>
    <mergeCell ref="B266:B270"/>
    <mergeCell ref="G261:G265"/>
    <mergeCell ref="E266:E270"/>
    <mergeCell ref="E261:E265"/>
    <mergeCell ref="G266:G270"/>
    <mergeCell ref="A291:A295"/>
    <mergeCell ref="A261:A265"/>
    <mergeCell ref="C311:C315"/>
    <mergeCell ref="B681:B686"/>
    <mergeCell ref="B666:B670"/>
    <mergeCell ref="D666:D670"/>
    <mergeCell ref="E681:E686"/>
    <mergeCell ref="A671:A675"/>
    <mergeCell ref="E346:E350"/>
    <mergeCell ref="E220:E225"/>
    <mergeCell ref="C220:C225"/>
    <mergeCell ref="A236:A240"/>
    <mergeCell ref="A251:A255"/>
    <mergeCell ref="A266:A270"/>
    <mergeCell ref="A276:A280"/>
    <mergeCell ref="D346:D350"/>
    <mergeCell ref="E271:E275"/>
    <mergeCell ref="E316:E320"/>
    <mergeCell ref="A361:A365"/>
    <mergeCell ref="A376:A380"/>
    <mergeCell ref="B371:B375"/>
    <mergeCell ref="B256:B260"/>
    <mergeCell ref="E256:E260"/>
    <mergeCell ref="A326:A330"/>
    <mergeCell ref="A301:A305"/>
    <mergeCell ref="B246:B250"/>
    <mergeCell ref="D246:D250"/>
    <mergeCell ref="B220:B225"/>
    <mergeCell ref="D276:D280"/>
    <mergeCell ref="B271:B275"/>
    <mergeCell ref="E336:E340"/>
    <mergeCell ref="E321:E325"/>
    <mergeCell ref="D336:D340"/>
    <mergeCell ref="B296:B300"/>
    <mergeCell ref="D316:D320"/>
    <mergeCell ref="D210:D214"/>
    <mergeCell ref="F215:F219"/>
    <mergeCell ref="E246:E250"/>
    <mergeCell ref="E241:E245"/>
    <mergeCell ref="D220:D225"/>
    <mergeCell ref="C215:C219"/>
    <mergeCell ref="E194:E199"/>
    <mergeCell ref="B194:B199"/>
    <mergeCell ref="G153:G157"/>
    <mergeCell ref="B226:B230"/>
    <mergeCell ref="C231:C235"/>
    <mergeCell ref="C246:C250"/>
    <mergeCell ref="C241:C245"/>
    <mergeCell ref="B231:B235"/>
    <mergeCell ref="D231:D235"/>
    <mergeCell ref="D256:D260"/>
    <mergeCell ref="G256:G260"/>
    <mergeCell ref="F251:F255"/>
    <mergeCell ref="G226:G230"/>
    <mergeCell ref="D732:D736"/>
    <mergeCell ref="G722:G726"/>
    <mergeCell ref="X251:X255"/>
    <mergeCell ref="X326:X330"/>
    <mergeCell ref="X311:X315"/>
    <mergeCell ref="G326:G330"/>
    <mergeCell ref="B346:B350"/>
    <mergeCell ref="E326:E330"/>
    <mergeCell ref="D286:D290"/>
    <mergeCell ref="B291:B295"/>
    <mergeCell ref="E291:E295"/>
    <mergeCell ref="X261:X265"/>
    <mergeCell ref="C321:C325"/>
    <mergeCell ref="F276:F280"/>
    <mergeCell ref="C266:C270"/>
    <mergeCell ref="B336:B340"/>
    <mergeCell ref="D331:D335"/>
    <mergeCell ref="C251:C255"/>
    <mergeCell ref="D266:D270"/>
    <mergeCell ref="C276:C280"/>
    <mergeCell ref="B261:B265"/>
    <mergeCell ref="B326:B330"/>
    <mergeCell ref="D296:D300"/>
    <mergeCell ref="D261:D265"/>
    <mergeCell ref="D321:D325"/>
    <mergeCell ref="C261:C265"/>
    <mergeCell ref="D311:D315"/>
    <mergeCell ref="F296:F300"/>
    <mergeCell ref="X266:X270"/>
    <mergeCell ref="C271:C275"/>
    <mergeCell ref="X621:X625"/>
    <mergeCell ref="D621:D625"/>
    <mergeCell ref="X220:X225"/>
    <mergeCell ref="B215:B219"/>
    <mergeCell ref="E200:E204"/>
    <mergeCell ref="D341:D345"/>
    <mergeCell ref="G336:G340"/>
    <mergeCell ref="A757:A761"/>
    <mergeCell ref="A712:A716"/>
    <mergeCell ref="A747:A751"/>
    <mergeCell ref="B747:B751"/>
    <mergeCell ref="A722:A726"/>
    <mergeCell ref="E732:E736"/>
    <mergeCell ref="E712:E716"/>
    <mergeCell ref="X757:X761"/>
    <mergeCell ref="X717:X721"/>
    <mergeCell ref="B737:B741"/>
    <mergeCell ref="C732:C736"/>
    <mergeCell ref="D722:D726"/>
    <mergeCell ref="A717:A721"/>
    <mergeCell ref="F757:F761"/>
    <mergeCell ref="E747:E751"/>
    <mergeCell ref="F742:F746"/>
    <mergeCell ref="G737:G741"/>
    <mergeCell ref="A737:A741"/>
    <mergeCell ref="D747:D751"/>
    <mergeCell ref="B742:B746"/>
    <mergeCell ref="B712:B716"/>
    <mergeCell ref="F712:F716"/>
    <mergeCell ref="A215:A219"/>
    <mergeCell ref="C210:C214"/>
    <mergeCell ref="A210:A214"/>
    <mergeCell ref="C200:C204"/>
    <mergeCell ref="F200:F204"/>
    <mergeCell ref="X48:X52"/>
    <mergeCell ref="X148:X152"/>
    <mergeCell ref="F48:F52"/>
    <mergeCell ref="E48:E52"/>
    <mergeCell ref="F72:F77"/>
    <mergeCell ref="E78:E81"/>
    <mergeCell ref="F78:F81"/>
    <mergeCell ref="B366:B370"/>
    <mergeCell ref="F381:F385"/>
    <mergeCell ref="G381:G385"/>
    <mergeCell ref="D371:D375"/>
    <mergeCell ref="E301:E305"/>
    <mergeCell ref="D381:D385"/>
    <mergeCell ref="E381:E385"/>
    <mergeCell ref="G376:G380"/>
    <mergeCell ref="C376:C380"/>
    <mergeCell ref="F316:F320"/>
    <mergeCell ref="G341:G345"/>
    <mergeCell ref="G301:G305"/>
    <mergeCell ref="X351:X355"/>
    <mergeCell ref="B381:B385"/>
    <mergeCell ref="B121:E121"/>
    <mergeCell ref="B129:E129"/>
    <mergeCell ref="B136:E136"/>
    <mergeCell ref="B148:B152"/>
    <mergeCell ref="E53:E58"/>
    <mergeCell ref="F53:F58"/>
    <mergeCell ref="G53:G58"/>
    <mergeCell ref="X210:X214"/>
    <mergeCell ref="X226:X230"/>
    <mergeCell ref="X200:X204"/>
    <mergeCell ref="X316:X320"/>
    <mergeCell ref="D53:D58"/>
    <mergeCell ref="D60:D65"/>
    <mergeCell ref="X356:X360"/>
    <mergeCell ref="D351:D355"/>
    <mergeCell ref="X381:X385"/>
    <mergeCell ref="C316:C320"/>
    <mergeCell ref="A742:A746"/>
    <mergeCell ref="F722:F726"/>
    <mergeCell ref="E737:E741"/>
    <mergeCell ref="C742:C746"/>
    <mergeCell ref="C707:C711"/>
    <mergeCell ref="G712:G716"/>
    <mergeCell ref="X697:X701"/>
    <mergeCell ref="G697:G701"/>
    <mergeCell ref="X681:X686"/>
    <mergeCell ref="B707:B711"/>
    <mergeCell ref="E742:E746"/>
    <mergeCell ref="G676:G680"/>
    <mergeCell ref="X702:X706"/>
    <mergeCell ref="B697:B701"/>
    <mergeCell ref="G681:G686"/>
    <mergeCell ref="B732:B736"/>
    <mergeCell ref="D727:D731"/>
    <mergeCell ref="E727:E731"/>
    <mergeCell ref="D717:D721"/>
    <mergeCell ref="D712:D716"/>
    <mergeCell ref="G717:G721"/>
    <mergeCell ref="X732:X736"/>
    <mergeCell ref="X361:X365"/>
    <mergeCell ref="A346:A350"/>
    <mergeCell ref="A316:A320"/>
    <mergeCell ref="A99:A104"/>
    <mergeCell ref="B22:E22"/>
    <mergeCell ref="B23:B29"/>
    <mergeCell ref="C23:C29"/>
    <mergeCell ref="D23:D29"/>
    <mergeCell ref="E23:E29"/>
    <mergeCell ref="D30:D37"/>
    <mergeCell ref="E30:E37"/>
    <mergeCell ref="F30:F37"/>
    <mergeCell ref="G30:G37"/>
    <mergeCell ref="E43:E47"/>
    <mergeCell ref="G48:G52"/>
    <mergeCell ref="C38:C42"/>
    <mergeCell ref="D38:D42"/>
    <mergeCell ref="E38:E42"/>
    <mergeCell ref="F23:F29"/>
    <mergeCell ref="G23:G29"/>
    <mergeCell ref="B38:B42"/>
    <mergeCell ref="C43:C47"/>
    <mergeCell ref="D43:D47"/>
    <mergeCell ref="C48:C52"/>
    <mergeCell ref="D48:D52"/>
    <mergeCell ref="B30:B37"/>
    <mergeCell ref="C30:C37"/>
    <mergeCell ref="A1:A3"/>
    <mergeCell ref="B1:B3"/>
    <mergeCell ref="C1:D2"/>
    <mergeCell ref="E1:E3"/>
    <mergeCell ref="F1:F3"/>
    <mergeCell ref="G1:H2"/>
    <mergeCell ref="A23:A29"/>
    <mergeCell ref="F43:F47"/>
    <mergeCell ref="G43:G47"/>
    <mergeCell ref="G72:G77"/>
    <mergeCell ref="X72:X77"/>
    <mergeCell ref="F60:F65"/>
    <mergeCell ref="G60:G65"/>
    <mergeCell ref="X30:X37"/>
    <mergeCell ref="X43:X47"/>
    <mergeCell ref="F38:F42"/>
    <mergeCell ref="G38:G42"/>
    <mergeCell ref="X38:X42"/>
    <mergeCell ref="X60:X65"/>
    <mergeCell ref="A43:A47"/>
    <mergeCell ref="B43:B47"/>
    <mergeCell ref="A38:A42"/>
    <mergeCell ref="X1:X3"/>
    <mergeCell ref="I1:W2"/>
    <mergeCell ref="X23:X29"/>
    <mergeCell ref="B18:E18"/>
    <mergeCell ref="A30:A37"/>
    <mergeCell ref="B19:E19"/>
    <mergeCell ref="B20:E20"/>
    <mergeCell ref="B21:E21"/>
    <mergeCell ref="A60:A65"/>
    <mergeCell ref="E72:E77"/>
    <mergeCell ref="A194:A199"/>
    <mergeCell ref="A189:A193"/>
    <mergeCell ref="B189:B193"/>
    <mergeCell ref="D194:D199"/>
    <mergeCell ref="E117:E120"/>
    <mergeCell ref="B138:B142"/>
    <mergeCell ref="B123:B128"/>
    <mergeCell ref="A174:A178"/>
    <mergeCell ref="C184:C188"/>
    <mergeCell ref="E184:E188"/>
    <mergeCell ref="D87:D93"/>
    <mergeCell ref="A105:A110"/>
    <mergeCell ref="C87:C93"/>
    <mergeCell ref="F99:F104"/>
    <mergeCell ref="A143:A147"/>
    <mergeCell ref="E148:E152"/>
    <mergeCell ref="F87:F93"/>
    <mergeCell ref="F153:F157"/>
    <mergeCell ref="B117:B120"/>
    <mergeCell ref="C117:C120"/>
    <mergeCell ref="D117:D120"/>
    <mergeCell ref="D163:D167"/>
    <mergeCell ref="F169:F173"/>
    <mergeCell ref="F138:F142"/>
    <mergeCell ref="D66:D71"/>
    <mergeCell ref="D130:D135"/>
    <mergeCell ref="C60:C65"/>
    <mergeCell ref="F66:F71"/>
    <mergeCell ref="A200:A204"/>
    <mergeCell ref="A205:A209"/>
    <mergeCell ref="C72:C77"/>
    <mergeCell ref="D72:D77"/>
    <mergeCell ref="X138:X142"/>
    <mergeCell ref="G111:G116"/>
    <mergeCell ref="X87:X93"/>
    <mergeCell ref="D94:D98"/>
    <mergeCell ref="E94:E98"/>
    <mergeCell ref="F94:F98"/>
    <mergeCell ref="G94:G98"/>
    <mergeCell ref="B111:B116"/>
    <mergeCell ref="D123:D128"/>
    <mergeCell ref="B137:E137"/>
    <mergeCell ref="C138:C142"/>
    <mergeCell ref="E138:E142"/>
    <mergeCell ref="A138:A142"/>
    <mergeCell ref="A123:A128"/>
    <mergeCell ref="C99:C104"/>
    <mergeCell ref="A111:A116"/>
    <mergeCell ref="A82:A86"/>
    <mergeCell ref="B82:B86"/>
    <mergeCell ref="C82:C86"/>
    <mergeCell ref="X129:X135"/>
    <mergeCell ref="X82:X86"/>
    <mergeCell ref="D82:D86"/>
    <mergeCell ref="E82:E86"/>
    <mergeCell ref="F82:F86"/>
    <mergeCell ref="A72:A77"/>
    <mergeCell ref="G123:G128"/>
    <mergeCell ref="E123:E128"/>
    <mergeCell ref="D205:D209"/>
    <mergeCell ref="G138:G142"/>
    <mergeCell ref="B72:B77"/>
    <mergeCell ref="B78:B81"/>
    <mergeCell ref="A130:A135"/>
    <mergeCell ref="X122:X127"/>
    <mergeCell ref="G130:G135"/>
    <mergeCell ref="F148:F152"/>
    <mergeCell ref="G148:G152"/>
    <mergeCell ref="E158:E162"/>
    <mergeCell ref="X194:X199"/>
    <mergeCell ref="X169:X173"/>
    <mergeCell ref="B174:B178"/>
    <mergeCell ref="D138:D142"/>
    <mergeCell ref="E130:E135"/>
    <mergeCell ref="B130:B135"/>
    <mergeCell ref="C130:C135"/>
    <mergeCell ref="E143:E147"/>
    <mergeCell ref="F158:F162"/>
    <mergeCell ref="F123:F128"/>
    <mergeCell ref="F143:F147"/>
    <mergeCell ref="F194:F199"/>
    <mergeCell ref="X174:X178"/>
    <mergeCell ref="F130:F135"/>
    <mergeCell ref="C123:C128"/>
    <mergeCell ref="B168:E168"/>
    <mergeCell ref="D174:D178"/>
    <mergeCell ref="F174:F178"/>
    <mergeCell ref="B153:B157"/>
    <mergeCell ref="D78:D81"/>
    <mergeCell ref="A184:A188"/>
    <mergeCell ref="C94:C98"/>
    <mergeCell ref="A117:A120"/>
    <mergeCell ref="D99:D104"/>
    <mergeCell ref="X78:X81"/>
    <mergeCell ref="G87:G93"/>
    <mergeCell ref="D105:D110"/>
    <mergeCell ref="B99:B104"/>
    <mergeCell ref="A78:A81"/>
    <mergeCell ref="X94:X98"/>
    <mergeCell ref="G78:G81"/>
    <mergeCell ref="C111:C116"/>
    <mergeCell ref="D111:D116"/>
    <mergeCell ref="E111:E116"/>
    <mergeCell ref="X99:X104"/>
    <mergeCell ref="E105:E110"/>
    <mergeCell ref="F105:F110"/>
    <mergeCell ref="A87:A93"/>
    <mergeCell ref="A94:A98"/>
    <mergeCell ref="B87:B93"/>
    <mergeCell ref="G117:G120"/>
    <mergeCell ref="B105:B110"/>
    <mergeCell ref="C105:C110"/>
    <mergeCell ref="X111:X116"/>
    <mergeCell ref="B94:B98"/>
    <mergeCell ref="E87:E93"/>
    <mergeCell ref="C78:C81"/>
    <mergeCell ref="G105:G110"/>
    <mergeCell ref="G82:G86"/>
    <mergeCell ref="F111:F116"/>
    <mergeCell ref="G99:G104"/>
    <mergeCell ref="X158:X162"/>
    <mergeCell ref="X153:X157"/>
    <mergeCell ref="F163:F167"/>
    <mergeCell ref="G163:G167"/>
    <mergeCell ref="E163:E167"/>
    <mergeCell ref="A179:A183"/>
    <mergeCell ref="A158:A162"/>
    <mergeCell ref="A153:A157"/>
    <mergeCell ref="C158:C162"/>
    <mergeCell ref="G158:G162"/>
    <mergeCell ref="A148:A152"/>
    <mergeCell ref="A163:A167"/>
    <mergeCell ref="D179:D183"/>
    <mergeCell ref="C174:C178"/>
    <mergeCell ref="C143:C147"/>
    <mergeCell ref="F179:F183"/>
    <mergeCell ref="D158:D162"/>
    <mergeCell ref="C153:C157"/>
    <mergeCell ref="A169:A173"/>
    <mergeCell ref="B163:B167"/>
    <mergeCell ref="G174:G178"/>
    <mergeCell ref="C179:C183"/>
    <mergeCell ref="D169:D173"/>
    <mergeCell ref="E174:E178"/>
    <mergeCell ref="B179:B183"/>
    <mergeCell ref="X163:X167"/>
    <mergeCell ref="X143:X147"/>
    <mergeCell ref="D143:D147"/>
    <mergeCell ref="X179:X183"/>
    <mergeCell ref="B143:B147"/>
    <mergeCell ref="C148:C152"/>
    <mergeCell ref="D148:D152"/>
    <mergeCell ref="A321:A325"/>
    <mergeCell ref="A351:A355"/>
    <mergeCell ref="F356:F360"/>
    <mergeCell ref="B351:B355"/>
    <mergeCell ref="E351:E355"/>
    <mergeCell ref="F326:F330"/>
    <mergeCell ref="G331:G335"/>
    <mergeCell ref="G311:G315"/>
    <mergeCell ref="X306:X310"/>
    <mergeCell ref="X271:X275"/>
    <mergeCell ref="D326:D330"/>
    <mergeCell ref="X281:X285"/>
    <mergeCell ref="B321:B325"/>
    <mergeCell ref="C301:C305"/>
    <mergeCell ref="C306:C310"/>
    <mergeCell ref="X341:X345"/>
    <mergeCell ref="C286:C290"/>
    <mergeCell ref="C346:C350"/>
    <mergeCell ref="A331:A335"/>
    <mergeCell ref="F291:F295"/>
    <mergeCell ref="C296:C300"/>
    <mergeCell ref="X276:X280"/>
    <mergeCell ref="E276:E280"/>
    <mergeCell ref="D306:D310"/>
    <mergeCell ref="A306:A310"/>
    <mergeCell ref="B276:B280"/>
    <mergeCell ref="B301:B305"/>
    <mergeCell ref="G286:G290"/>
    <mergeCell ref="F301:F305"/>
    <mergeCell ref="F306:F310"/>
    <mergeCell ref="B306:B310"/>
    <mergeCell ref="C281:C285"/>
    <mergeCell ref="A53:A58"/>
    <mergeCell ref="B53:B58"/>
    <mergeCell ref="G271:G275"/>
    <mergeCell ref="A231:A235"/>
    <mergeCell ref="A241:A245"/>
    <mergeCell ref="B341:B345"/>
    <mergeCell ref="A391:A395"/>
    <mergeCell ref="B391:B395"/>
    <mergeCell ref="A341:A345"/>
    <mergeCell ref="A336:A340"/>
    <mergeCell ref="C366:C370"/>
    <mergeCell ref="F386:F390"/>
    <mergeCell ref="C391:C395"/>
    <mergeCell ref="G291:G295"/>
    <mergeCell ref="E231:E235"/>
    <mergeCell ref="B251:B255"/>
    <mergeCell ref="D271:D275"/>
    <mergeCell ref="F241:F245"/>
    <mergeCell ref="F261:F265"/>
    <mergeCell ref="F256:F260"/>
    <mergeCell ref="A381:A385"/>
    <mergeCell ref="G386:G390"/>
    <mergeCell ref="D391:D395"/>
    <mergeCell ref="E391:E395"/>
    <mergeCell ref="G316:G320"/>
    <mergeCell ref="G351:G355"/>
    <mergeCell ref="C291:C295"/>
    <mergeCell ref="D361:D365"/>
    <mergeCell ref="B361:B365"/>
    <mergeCell ref="D301:D305"/>
    <mergeCell ref="B286:B290"/>
    <mergeCell ref="D291:D295"/>
    <mergeCell ref="A386:A390"/>
    <mergeCell ref="A366:A370"/>
    <mergeCell ref="C381:C385"/>
    <mergeCell ref="A356:A360"/>
    <mergeCell ref="C737:C741"/>
    <mergeCell ref="E697:E701"/>
    <mergeCell ref="D697:D701"/>
    <mergeCell ref="F346:F350"/>
    <mergeCell ref="C371:C375"/>
    <mergeCell ref="F376:F380"/>
    <mergeCell ref="D707:D711"/>
    <mergeCell ref="D376:D380"/>
    <mergeCell ref="E376:E380"/>
    <mergeCell ref="B471:B475"/>
    <mergeCell ref="B436:B440"/>
    <mergeCell ref="C411:C415"/>
    <mergeCell ref="C476:C480"/>
    <mergeCell ref="F446:F450"/>
    <mergeCell ref="B426:B430"/>
    <mergeCell ref="D476:D480"/>
    <mergeCell ref="C406:C410"/>
    <mergeCell ref="A702:A706"/>
    <mergeCell ref="A687:A691"/>
    <mergeCell ref="D396:D400"/>
    <mergeCell ref="D406:D410"/>
    <mergeCell ref="E636:E640"/>
    <mergeCell ref="D401:D405"/>
    <mergeCell ref="B441:B445"/>
    <mergeCell ref="D421:D425"/>
    <mergeCell ref="F421:F425"/>
    <mergeCell ref="E416:E420"/>
    <mergeCell ref="A406:A410"/>
    <mergeCell ref="E626:E630"/>
    <mergeCell ref="X601:X605"/>
    <mergeCell ref="X586:X590"/>
    <mergeCell ref="D636:D640"/>
    <mergeCell ref="X646:X650"/>
    <mergeCell ref="X666:X670"/>
    <mergeCell ref="F656:F660"/>
    <mergeCell ref="X426:X430"/>
    <mergeCell ref="G436:G440"/>
    <mergeCell ref="X466:X470"/>
    <mergeCell ref="C421:C425"/>
    <mergeCell ref="C431:C435"/>
    <mergeCell ref="G626:G630"/>
    <mergeCell ref="G606:G610"/>
    <mergeCell ref="C521:C525"/>
    <mergeCell ref="X616:X620"/>
    <mergeCell ref="X546:X550"/>
    <mergeCell ref="X556:X560"/>
    <mergeCell ref="X611:X615"/>
    <mergeCell ref="D496:D500"/>
    <mergeCell ref="F426:F430"/>
    <mergeCell ref="X606:X610"/>
    <mergeCell ref="C561:C565"/>
    <mergeCell ref="X566:X570"/>
    <mergeCell ref="F516:F520"/>
    <mergeCell ref="C471:C475"/>
    <mergeCell ref="D461:D465"/>
    <mergeCell ref="G596:G600"/>
    <mergeCell ref="E536:E540"/>
    <mergeCell ref="G586:G590"/>
    <mergeCell ref="G456:G460"/>
    <mergeCell ref="G621:G625"/>
    <mergeCell ref="G732:G736"/>
    <mergeCell ref="D687:D691"/>
    <mergeCell ref="X692:X696"/>
    <mergeCell ref="X656:X660"/>
    <mergeCell ref="X722:X726"/>
    <mergeCell ref="E722:E726"/>
    <mergeCell ref="X712:X716"/>
    <mergeCell ref="C666:C670"/>
    <mergeCell ref="X676:X680"/>
    <mergeCell ref="C656:C660"/>
    <mergeCell ref="D676:D680"/>
    <mergeCell ref="D656:D660"/>
    <mergeCell ref="G666:G670"/>
    <mergeCell ref="D702:D706"/>
    <mergeCell ref="C626:C630"/>
    <mergeCell ref="F697:F701"/>
    <mergeCell ref="A666:A670"/>
    <mergeCell ref="G727:G731"/>
    <mergeCell ref="X727:X731"/>
    <mergeCell ref="F727:F731"/>
    <mergeCell ref="G651:G655"/>
    <mergeCell ref="X631:X635"/>
    <mergeCell ref="X626:X630"/>
    <mergeCell ref="B702:B706"/>
    <mergeCell ref="E646:E650"/>
    <mergeCell ref="F646:F650"/>
    <mergeCell ref="D626:D630"/>
    <mergeCell ref="D631:D635"/>
    <mergeCell ref="B676:B680"/>
    <mergeCell ref="E687:E691"/>
    <mergeCell ref="E702:E706"/>
    <mergeCell ref="G692:G696"/>
    <mergeCell ref="A767:A771"/>
    <mergeCell ref="X782:X786"/>
    <mergeCell ref="G752:G756"/>
    <mergeCell ref="D757:D761"/>
    <mergeCell ref="C767:C771"/>
    <mergeCell ref="C566:C570"/>
    <mergeCell ref="X671:X675"/>
    <mergeCell ref="A641:A645"/>
    <mergeCell ref="E651:E655"/>
    <mergeCell ref="F636:F640"/>
    <mergeCell ref="X777:X781"/>
    <mergeCell ref="E772:E776"/>
    <mergeCell ref="F641:F645"/>
    <mergeCell ref="X591:X595"/>
    <mergeCell ref="B601:B605"/>
    <mergeCell ref="B596:B600"/>
    <mergeCell ref="F601:F605"/>
    <mergeCell ref="X772:X776"/>
    <mergeCell ref="B631:B635"/>
    <mergeCell ref="X707:X711"/>
    <mergeCell ref="E586:E590"/>
    <mergeCell ref="H651:H655"/>
    <mergeCell ref="C651:C655"/>
    <mergeCell ref="D651:D655"/>
    <mergeCell ref="X651:X655"/>
    <mergeCell ref="D601:D605"/>
    <mergeCell ref="F702:F706"/>
    <mergeCell ref="X762:X766"/>
    <mergeCell ref="X747:X751"/>
    <mergeCell ref="X752:X756"/>
    <mergeCell ref="X742:X746"/>
    <mergeCell ref="C717:C721"/>
    <mergeCell ref="I792:L792"/>
    <mergeCell ref="E707:E711"/>
    <mergeCell ref="F707:F711"/>
    <mergeCell ref="F661:F665"/>
    <mergeCell ref="G661:G665"/>
    <mergeCell ref="G656:G660"/>
    <mergeCell ref="C586:C590"/>
    <mergeCell ref="C616:C620"/>
    <mergeCell ref="D521:D525"/>
    <mergeCell ref="C676:C680"/>
    <mergeCell ref="C687:C691"/>
    <mergeCell ref="E676:E680"/>
    <mergeCell ref="F681:F686"/>
    <mergeCell ref="D681:D686"/>
    <mergeCell ref="C712:C716"/>
    <mergeCell ref="G707:G711"/>
    <mergeCell ref="E671:E675"/>
    <mergeCell ref="F671:F675"/>
    <mergeCell ref="D581:D585"/>
    <mergeCell ref="E581:E585"/>
    <mergeCell ref="D772:D776"/>
    <mergeCell ref="C752:C756"/>
    <mergeCell ref="F767:F771"/>
    <mergeCell ref="G767:G771"/>
    <mergeCell ref="G762:G766"/>
    <mergeCell ref="D762:D766"/>
    <mergeCell ref="F752:F756"/>
    <mergeCell ref="D641:D645"/>
    <mergeCell ref="C551:C555"/>
    <mergeCell ref="E656:E660"/>
    <mergeCell ref="D596:D600"/>
    <mergeCell ref="D782:D786"/>
    <mergeCell ref="I794:L794"/>
    <mergeCell ref="A466:A470"/>
    <mergeCell ref="B466:B470"/>
    <mergeCell ref="C466:C470"/>
    <mergeCell ref="G466:G470"/>
    <mergeCell ref="A631:A635"/>
    <mergeCell ref="A782:A786"/>
    <mergeCell ref="A656:A660"/>
    <mergeCell ref="E616:E620"/>
    <mergeCell ref="A606:A610"/>
    <mergeCell ref="A616:A620"/>
    <mergeCell ref="B561:B565"/>
    <mergeCell ref="B531:B535"/>
    <mergeCell ref="A526:A530"/>
    <mergeCell ref="A521:A525"/>
    <mergeCell ref="A531:A535"/>
    <mergeCell ref="F511:F515"/>
    <mergeCell ref="D737:D741"/>
    <mergeCell ref="G511:G515"/>
    <mergeCell ref="E511:E515"/>
    <mergeCell ref="B586:B590"/>
    <mergeCell ref="F521:F525"/>
    <mergeCell ref="G521:G525"/>
    <mergeCell ref="G541:G545"/>
    <mergeCell ref="D576:D580"/>
    <mergeCell ref="D586:D590"/>
    <mergeCell ref="I793:L793"/>
    <mergeCell ref="B656:B660"/>
    <mergeCell ref="D511:D515"/>
    <mergeCell ref="B511:B515"/>
    <mergeCell ref="B506:B510"/>
    <mergeCell ref="B516:B520"/>
    <mergeCell ref="A17031:A17035"/>
    <mergeCell ref="B17031:B17035"/>
    <mergeCell ref="C17031:C17035"/>
    <mergeCell ref="D17031:D17035"/>
    <mergeCell ref="E17031:E17035"/>
    <mergeCell ref="F17031:F17035"/>
    <mergeCell ref="C661:C665"/>
    <mergeCell ref="F676:F680"/>
    <mergeCell ref="A596:A600"/>
    <mergeCell ref="A506:A510"/>
    <mergeCell ref="B621:B625"/>
    <mergeCell ref="A777:A781"/>
    <mergeCell ref="B501:B505"/>
    <mergeCell ref="B566:B570"/>
    <mergeCell ref="C671:C675"/>
    <mergeCell ref="E571:E575"/>
    <mergeCell ref="C516:C520"/>
    <mergeCell ref="A697:A701"/>
    <mergeCell ref="E666:E670"/>
    <mergeCell ref="F666:F670"/>
    <mergeCell ref="D671:D675"/>
    <mergeCell ref="E501:E505"/>
    <mergeCell ref="F546:F550"/>
    <mergeCell ref="F571:F575"/>
    <mergeCell ref="E561:E565"/>
    <mergeCell ref="B626:B630"/>
    <mergeCell ref="C581:C585"/>
    <mergeCell ref="A651:A655"/>
    <mergeCell ref="F687:F691"/>
    <mergeCell ref="C511:C515"/>
    <mergeCell ref="B782:B786"/>
    <mergeCell ref="C782:C786"/>
    <mergeCell ref="A421:A425"/>
    <mergeCell ref="A441:A445"/>
    <mergeCell ref="X406:X410"/>
    <mergeCell ref="B411:B415"/>
    <mergeCell ref="B416:B420"/>
    <mergeCell ref="C416:C420"/>
    <mergeCell ref="C446:C450"/>
    <mergeCell ref="B401:B405"/>
    <mergeCell ref="G411:G415"/>
    <mergeCell ref="A411:A415"/>
    <mergeCell ref="E411:E415"/>
    <mergeCell ref="B421:B425"/>
    <mergeCell ref="D416:D420"/>
    <mergeCell ref="X431:X435"/>
    <mergeCell ref="G421:G425"/>
    <mergeCell ref="G416:G420"/>
    <mergeCell ref="X416:X420"/>
    <mergeCell ref="F416:F420"/>
    <mergeCell ref="E431:E435"/>
    <mergeCell ref="F431:F435"/>
    <mergeCell ref="G431:G435"/>
    <mergeCell ref="B406:B410"/>
    <mergeCell ref="G441:G445"/>
    <mergeCell ref="A396:A400"/>
    <mergeCell ref="G17031:G17035"/>
    <mergeCell ref="X17031:X17035"/>
    <mergeCell ref="G461:G465"/>
    <mergeCell ref="C461:C465"/>
    <mergeCell ref="G451:G455"/>
    <mergeCell ref="G531:G535"/>
    <mergeCell ref="A401:A405"/>
    <mergeCell ref="A516:A520"/>
    <mergeCell ref="A536:A540"/>
    <mergeCell ref="A471:A475"/>
    <mergeCell ref="E496:E500"/>
    <mergeCell ref="E421:E425"/>
    <mergeCell ref="A416:A420"/>
    <mergeCell ref="G526:G530"/>
    <mergeCell ref="B496:B500"/>
    <mergeCell ref="A511:A515"/>
    <mergeCell ref="A436:A440"/>
    <mergeCell ref="X551:X555"/>
    <mergeCell ref="A626:A630"/>
    <mergeCell ref="E596:E600"/>
    <mergeCell ref="A636:A640"/>
    <mergeCell ref="F591:F595"/>
    <mergeCell ref="A576:A580"/>
    <mergeCell ref="B526:B530"/>
    <mergeCell ref="D531:D535"/>
    <mergeCell ref="D541:D545"/>
    <mergeCell ref="A501:A505"/>
    <mergeCell ref="X461:X465"/>
    <mergeCell ref="X456:X460"/>
    <mergeCell ref="X506:X510"/>
    <mergeCell ref="X471:X475"/>
  </mergeCells>
  <phoneticPr fontId="21" type="noConversion"/>
  <pageMargins left="0.25" right="0.25" top="0.75" bottom="0.75" header="0.3" footer="0.3"/>
  <pageSetup paperSize="8" scale="84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65">
        <v>65</v>
      </c>
    </row>
    <row r="52" spans="5:5">
      <c r="E52" s="366"/>
    </row>
    <row r="53" spans="5:5">
      <c r="E53" s="366"/>
    </row>
    <row r="54" spans="5:5">
      <c r="E54" s="366"/>
    </row>
    <row r="55" spans="5:5">
      <c r="E55" s="367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2025-08-05T08:05:00Z</cp:lastPrinted>
  <dcterms:created xsi:type="dcterms:W3CDTF">2006-09-22T13:37:51Z</dcterms:created>
  <dcterms:modified xsi:type="dcterms:W3CDTF">2025-08-05T08:24:14Z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